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dobyh\1\1\2024\ФІНПЛАНИ\2024\Звіт за півріччя 2024\"/>
    </mc:Choice>
  </mc:AlternateContent>
  <bookViews>
    <workbookView xWindow="0" yWindow="0" windowWidth="28800" windowHeight="12225" tabRatio="838"/>
  </bookViews>
  <sheets>
    <sheet name="Звіт про виконання показ фінпла" sheetId="14" r:id="rId1"/>
    <sheet name="Розшифровка 1 до Формування" sheetId="22" r:id="rId2"/>
    <sheet name="Розшифровка 2 до формування" sheetId="26" r:id="rId3"/>
    <sheet name="Розшифровка кап" sheetId="24" r:id="rId4"/>
    <sheet name="Розшифровка за джерелами" sheetId="9" r:id="rId5"/>
  </sheets>
  <externalReferences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>[6]Inform!$E$6</definedName>
    <definedName name="ClDate_21">[7]Inform!$E$6</definedName>
    <definedName name="ClDate_25">[7]Inform!$E$6</definedName>
    <definedName name="ClDate_6">[8]Inform!$E$6</definedName>
    <definedName name="CompName">[6]Inform!$F$2</definedName>
    <definedName name="CompName_21">[7]Inform!$F$2</definedName>
    <definedName name="CompName_25">[7]Inform!$F$2</definedName>
    <definedName name="CompName_6">[8]Inform!$F$2</definedName>
    <definedName name="CompNameE">[6]Inform!$G$2</definedName>
    <definedName name="CompNameE_21">[7]Inform!$G$2</definedName>
    <definedName name="CompNameE_25">[7]Inform!$G$2</definedName>
    <definedName name="CompNameE_6">[8]Inform!$G$2</definedName>
    <definedName name="Cost_Category_National_ID">#REF!</definedName>
    <definedName name="Cе511">#REF!</definedName>
    <definedName name="d">'[9]МТР Газ України'!$B$4</definedName>
    <definedName name="dCPIb">[10]попер_роз!#REF!</definedName>
    <definedName name="dPPIb">[10]попер_роз!#REF!</definedName>
    <definedName name="ds">'[11]7  Інші витрати'!#REF!</definedName>
    <definedName name="Fact_Type_ID">#REF!</definedName>
    <definedName name="G">'[12]МТР Газ України'!$B$1</definedName>
    <definedName name="ij1sssss">'[13]7  Інші витрати'!#REF!</definedName>
    <definedName name="LastItem">[14]Лист1!$A$1</definedName>
    <definedName name="Load">'[15]МТР Газ України'!$B$4</definedName>
    <definedName name="Load_ID">'[16]МТР Газ України'!$B$4</definedName>
    <definedName name="Load_ID_10">'[17]7  Інші витрати'!#REF!</definedName>
    <definedName name="Load_ID_11">'[18]МТР Газ України'!$B$4</definedName>
    <definedName name="Load_ID_12">'[18]МТР Газ України'!$B$4</definedName>
    <definedName name="Load_ID_13">'[18]МТР Газ України'!$B$4</definedName>
    <definedName name="Load_ID_14">'[18]МТР Газ України'!$B$4</definedName>
    <definedName name="Load_ID_15">'[18]МТР Газ України'!$B$4</definedName>
    <definedName name="Load_ID_16">'[18]МТР Газ України'!$B$4</definedName>
    <definedName name="Load_ID_17">'[18]МТР Газ України'!$B$4</definedName>
    <definedName name="Load_ID_18">'[19]МТР Газ України'!$B$4</definedName>
    <definedName name="Load_ID_19">'[20]МТР Газ України'!$B$4</definedName>
    <definedName name="Load_ID_20">'[19]МТР Газ України'!$B$4</definedName>
    <definedName name="Load_ID_200">'[15]МТР Газ України'!$B$4</definedName>
    <definedName name="Load_ID_21">'[21]МТР Газ України'!$B$4</definedName>
    <definedName name="Load_ID_23">'[20]МТР Газ України'!$B$4</definedName>
    <definedName name="Load_ID_25">'[21]МТР Газ України'!$B$4</definedName>
    <definedName name="Load_ID_542">'[22]МТР Газ України'!$B$4</definedName>
    <definedName name="Load_ID_6">'[18]МТР Газ України'!$B$4</definedName>
    <definedName name="OpDate">[6]Inform!$E$5</definedName>
    <definedName name="OpDate_21">[7]Inform!$E$5</definedName>
    <definedName name="OpDate_25">[7]Inform!$E$5</definedName>
    <definedName name="OpDate_6">[8]Inform!$E$5</definedName>
    <definedName name="QR">[23]Inform!$E$5</definedName>
    <definedName name="qw">[5]Inform!$E$5</definedName>
    <definedName name="qwert">[5]Inform!$G$2</definedName>
    <definedName name="qwerty">'[4]МТР Газ України'!$B$4</definedName>
    <definedName name="ShowFil">[14]!ShowFil</definedName>
    <definedName name="SU_ID">#REF!</definedName>
    <definedName name="Time_ID">'[16]МТР Газ України'!$B$1</definedName>
    <definedName name="Time_ID_10">'[17]7  Інші витрати'!#REF!</definedName>
    <definedName name="Time_ID_11">'[18]МТР Газ України'!$B$1</definedName>
    <definedName name="Time_ID_12">'[18]МТР Газ України'!$B$1</definedName>
    <definedName name="Time_ID_13">'[18]МТР Газ України'!$B$1</definedName>
    <definedName name="Time_ID_14">'[18]МТР Газ України'!$B$1</definedName>
    <definedName name="Time_ID_15">'[18]МТР Газ України'!$B$1</definedName>
    <definedName name="Time_ID_16">'[18]МТР Газ України'!$B$1</definedName>
    <definedName name="Time_ID_17">'[18]МТР Газ України'!$B$1</definedName>
    <definedName name="Time_ID_18">'[19]МТР Газ України'!$B$1</definedName>
    <definedName name="Time_ID_19">'[20]МТР Газ України'!$B$1</definedName>
    <definedName name="Time_ID_20">'[19]МТР Газ України'!$B$1</definedName>
    <definedName name="Time_ID_21">'[21]МТР Газ України'!$B$1</definedName>
    <definedName name="Time_ID_23">'[20]МТР Газ України'!$B$1</definedName>
    <definedName name="Time_ID_25">'[21]МТР Газ України'!$B$1</definedName>
    <definedName name="Time_ID_6">'[18]МТР Газ України'!$B$1</definedName>
    <definedName name="Time_ID0">'[16]МТР Газ України'!$F$1</definedName>
    <definedName name="Time_ID0_10">'[17]7  Інші витрати'!#REF!</definedName>
    <definedName name="Time_ID0_11">'[18]МТР Газ України'!$F$1</definedName>
    <definedName name="Time_ID0_12">'[18]МТР Газ України'!$F$1</definedName>
    <definedName name="Time_ID0_13">'[18]МТР Газ України'!$F$1</definedName>
    <definedName name="Time_ID0_14">'[18]МТР Газ України'!$F$1</definedName>
    <definedName name="Time_ID0_15">'[18]МТР Газ України'!$F$1</definedName>
    <definedName name="Time_ID0_16">'[18]МТР Газ України'!$F$1</definedName>
    <definedName name="Time_ID0_17">'[18]МТР Газ України'!$F$1</definedName>
    <definedName name="Time_ID0_18">'[19]МТР Газ України'!$F$1</definedName>
    <definedName name="Time_ID0_19">'[20]МТР Газ України'!$F$1</definedName>
    <definedName name="Time_ID0_20">'[19]МТР Газ України'!$F$1</definedName>
    <definedName name="Time_ID0_21">'[21]МТР Газ України'!$F$1</definedName>
    <definedName name="Time_ID0_23">'[20]МТР Газ України'!$F$1</definedName>
    <definedName name="Time_ID0_25">'[21]МТР Газ України'!$F$1</definedName>
    <definedName name="Time_ID0_6">'[18]МТР Газ України'!$F$1</definedName>
    <definedName name="ttttttt">#REF!</definedName>
    <definedName name="Unit">[6]Inform!$E$38</definedName>
    <definedName name="Unit_21">[7]Inform!$E$38</definedName>
    <definedName name="Unit_25">[7]Inform!$E$38</definedName>
    <definedName name="Unit_6">[8]Inform!$E$38</definedName>
    <definedName name="WQER">'[24]МТР Газ України'!$B$4</definedName>
    <definedName name="wr">'[24]МТР Газ України'!$B$4</definedName>
    <definedName name="yyyy">#REF!</definedName>
    <definedName name="zx">'[4]МТР Газ України'!$F$1</definedName>
    <definedName name="zxc">[5]Inform!$E$38</definedName>
    <definedName name="а">'[13]7  Інші витрати'!#REF!</definedName>
    <definedName name="ав">#REF!</definedName>
    <definedName name="аен">'[24]МТР Газ України'!$B$4</definedName>
    <definedName name="_xlnm.Database">'[25]Ener '!$A$1:$G$2645</definedName>
    <definedName name="в">'[26]МТР Газ України'!$F$1</definedName>
    <definedName name="ватт">'[27]БАЗА  '!#REF!</definedName>
    <definedName name="Д">'[15]МТР Газ України'!$B$4</definedName>
    <definedName name="е">#REF!</definedName>
    <definedName name="є">#REF!</definedName>
    <definedName name="_xlnm.Print_Titles" localSheetId="0">'Звіт про виконання показ фінпла'!$4:$6</definedName>
    <definedName name="_xlnm.Print_Titles" localSheetId="1">'Розшифровка 1 до Формування'!$4:$5</definedName>
    <definedName name="_xlnm.Print_Titles" localSheetId="2">'Розшифровка 2 до формування'!$4:$5</definedName>
    <definedName name="_xlnm.Print_Titles" localSheetId="4">'Розшифровка за джерелами'!$4:$5</definedName>
    <definedName name="_xlnm.Print_Titles" localSheetId="3">'Розшифровка кап'!$3:$4</definedName>
    <definedName name="Заголовки_для_печати_МИ">'[28]1993'!$A$1:$IV$3,'[28]1993'!$A$1:$A$65536</definedName>
    <definedName name="і">[29]Inform!$F$2</definedName>
    <definedName name="ів">#REF!</definedName>
    <definedName name="ів___0">#REF!</definedName>
    <definedName name="ів_22">#REF!</definedName>
    <definedName name="ів_26">#REF!</definedName>
    <definedName name="іваіа">'[30]7  Інші витрати'!#REF!</definedName>
    <definedName name="іваф">#REF!</definedName>
    <definedName name="івів">'[12]МТР Газ України'!$B$1</definedName>
    <definedName name="іцу">[23]Inform!$G$2</definedName>
    <definedName name="йуц">#REF!</definedName>
    <definedName name="йцу">#REF!</definedName>
    <definedName name="йцуйй">#REF!</definedName>
    <definedName name="йцукц">'[30]7  Інші витрати'!#REF!</definedName>
    <definedName name="КЕ">#REF!</definedName>
    <definedName name="КЕ___0">#REF!</definedName>
    <definedName name="КЕ_22">#REF!</definedName>
    <definedName name="КЕ_26">#REF!</definedName>
    <definedName name="кен">#REF!</definedName>
    <definedName name="л">#REF!</definedName>
    <definedName name="_xlnm.Print_Area" localSheetId="0">'Звіт про виконання показ фінпла'!$A$1:$H$100</definedName>
    <definedName name="_xlnm.Print_Area" localSheetId="1">'Розшифровка 1 до Формування'!$A$1:$H$103</definedName>
    <definedName name="_xlnm.Print_Area" localSheetId="2">'Розшифровка 2 до формування'!$A$1:$H$230</definedName>
    <definedName name="_xlnm.Print_Area" localSheetId="4">'Розшифровка за джерелами'!$A$1:$P$107</definedName>
    <definedName name="_xlnm.Print_Area" localSheetId="3">'Розшифровка кап'!$A$1:$G$133</definedName>
    <definedName name="п">'[13]7  Інші витрати'!#REF!</definedName>
    <definedName name="пдв">'[15]МТР Газ України'!$B$4</definedName>
    <definedName name="пдв_утг">'[15]МТР Газ України'!$F$1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>[31]Inform!$E$6</definedName>
    <definedName name="р">#REF!</definedName>
    <definedName name="т">[32]Inform!$E$6</definedName>
    <definedName name="тариф">[33]Inform!$G$2</definedName>
    <definedName name="уйцукйцуйу">#REF!</definedName>
    <definedName name="уке">[34]Inform!$G$2</definedName>
    <definedName name="УТГ">'[15]МТР Газ України'!$B$4</definedName>
    <definedName name="фів">'[24]МТР Газ України'!$B$4</definedName>
    <definedName name="фіваіф">'[30]7  Інші витрати'!#REF!</definedName>
    <definedName name="фф">'[26]МТР Газ України'!$F$1</definedName>
    <definedName name="ц">'[13]7  Інші витрати'!#REF!</definedName>
    <definedName name="ччч">'[35]БАЗА  '!#REF!</definedName>
    <definedName name="ш">#REF!</definedName>
  </definedNames>
  <calcPr calcId="179021"/>
</workbook>
</file>

<file path=xl/calcChain.xml><?xml version="1.0" encoding="utf-8"?>
<calcChain xmlns="http://schemas.openxmlformats.org/spreadsheetml/2006/main">
  <c r="H100" i="9" l="1"/>
  <c r="E5" i="24"/>
  <c r="F75" i="14"/>
  <c r="D76" i="14"/>
  <c r="M100" i="9"/>
  <c r="N95" i="9"/>
  <c r="P95" i="9" s="1"/>
  <c r="M95" i="9"/>
  <c r="N94" i="9"/>
  <c r="P94" i="9" s="1"/>
  <c r="M94" i="9"/>
  <c r="L93" i="9"/>
  <c r="K93" i="9"/>
  <c r="J93" i="9"/>
  <c r="I93" i="9"/>
  <c r="H93" i="9"/>
  <c r="G93" i="9"/>
  <c r="M93" i="9" s="1"/>
  <c r="F93" i="9"/>
  <c r="E93" i="9"/>
  <c r="D5" i="24"/>
  <c r="E124" i="24"/>
  <c r="D124" i="24"/>
  <c r="G124" i="24" s="1"/>
  <c r="G125" i="24"/>
  <c r="F125" i="24"/>
  <c r="G126" i="24"/>
  <c r="F126" i="24"/>
  <c r="N93" i="9" l="1"/>
  <c r="O95" i="9"/>
  <c r="O94" i="9"/>
  <c r="P93" i="9"/>
  <c r="F124" i="24"/>
  <c r="O93" i="9" l="1"/>
  <c r="N99" i="9" l="1"/>
  <c r="M99" i="9"/>
  <c r="N98" i="9"/>
  <c r="M98" i="9"/>
  <c r="N97" i="9"/>
  <c r="M97" i="9"/>
  <c r="N92" i="9"/>
  <c r="P92" i="9" s="1"/>
  <c r="M92" i="9"/>
  <c r="N91" i="9"/>
  <c r="M91" i="9"/>
  <c r="N90" i="9"/>
  <c r="O90" i="9" s="1"/>
  <c r="M90" i="9"/>
  <c r="N89" i="9"/>
  <c r="P89" i="9" s="1"/>
  <c r="M89" i="9"/>
  <c r="N88" i="9"/>
  <c r="M88" i="9"/>
  <c r="N87" i="9"/>
  <c r="O87" i="9" s="1"/>
  <c r="M87" i="9"/>
  <c r="N86" i="9"/>
  <c r="P86" i="9" s="1"/>
  <c r="M86" i="9"/>
  <c r="N85" i="9"/>
  <c r="M85" i="9"/>
  <c r="N84" i="9"/>
  <c r="O84" i="9" s="1"/>
  <c r="M84" i="9"/>
  <c r="N83" i="9"/>
  <c r="P83" i="9" s="1"/>
  <c r="M83" i="9"/>
  <c r="N82" i="9"/>
  <c r="M82" i="9"/>
  <c r="N81" i="9"/>
  <c r="O81" i="9" s="1"/>
  <c r="M81" i="9"/>
  <c r="N80" i="9"/>
  <c r="P80" i="9" s="1"/>
  <c r="M80" i="9"/>
  <c r="N79" i="9"/>
  <c r="M79" i="9"/>
  <c r="N78" i="9"/>
  <c r="O78" i="9" s="1"/>
  <c r="M78" i="9"/>
  <c r="N77" i="9"/>
  <c r="P77" i="9" s="1"/>
  <c r="M77" i="9"/>
  <c r="N76" i="9"/>
  <c r="M76" i="9"/>
  <c r="N75" i="9"/>
  <c r="O75" i="9" s="1"/>
  <c r="M75" i="9"/>
  <c r="N74" i="9"/>
  <c r="P74" i="9" s="1"/>
  <c r="M74" i="9"/>
  <c r="N73" i="9"/>
  <c r="M73" i="9"/>
  <c r="N72" i="9"/>
  <c r="O72" i="9" s="1"/>
  <c r="M72" i="9"/>
  <c r="N71" i="9"/>
  <c r="P71" i="9" s="1"/>
  <c r="M71" i="9"/>
  <c r="N70" i="9"/>
  <c r="M70" i="9"/>
  <c r="N69" i="9"/>
  <c r="O69" i="9" s="1"/>
  <c r="M69" i="9"/>
  <c r="N68" i="9"/>
  <c r="P68" i="9" s="1"/>
  <c r="M68" i="9"/>
  <c r="N67" i="9"/>
  <c r="M67" i="9"/>
  <c r="N66" i="9"/>
  <c r="O66" i="9" s="1"/>
  <c r="M66" i="9"/>
  <c r="N65" i="9"/>
  <c r="P65" i="9" s="1"/>
  <c r="M65" i="9"/>
  <c r="N64" i="9"/>
  <c r="M64" i="9"/>
  <c r="N63" i="9"/>
  <c r="O63" i="9" s="1"/>
  <c r="M63" i="9"/>
  <c r="N62" i="9"/>
  <c r="P62" i="9" s="1"/>
  <c r="M62" i="9"/>
  <c r="N61" i="9"/>
  <c r="M61" i="9"/>
  <c r="N60" i="9"/>
  <c r="O60" i="9" s="1"/>
  <c r="M60" i="9"/>
  <c r="N59" i="9"/>
  <c r="P59" i="9" s="1"/>
  <c r="M59" i="9"/>
  <c r="N58" i="9"/>
  <c r="M58" i="9"/>
  <c r="N57" i="9"/>
  <c r="O57" i="9" s="1"/>
  <c r="M57" i="9"/>
  <c r="N56" i="9"/>
  <c r="P56" i="9" s="1"/>
  <c r="M56" i="9"/>
  <c r="N55" i="9"/>
  <c r="M55" i="9"/>
  <c r="N54" i="9"/>
  <c r="O54" i="9" s="1"/>
  <c r="M54" i="9"/>
  <c r="N53" i="9"/>
  <c r="P53" i="9" s="1"/>
  <c r="M53" i="9"/>
  <c r="N52" i="9"/>
  <c r="M52" i="9"/>
  <c r="N51" i="9"/>
  <c r="O51" i="9" s="1"/>
  <c r="M51" i="9"/>
  <c r="N50" i="9"/>
  <c r="P50" i="9" s="1"/>
  <c r="M50" i="9"/>
  <c r="N49" i="9"/>
  <c r="M49" i="9"/>
  <c r="N48" i="9"/>
  <c r="O48" i="9" s="1"/>
  <c r="M48" i="9"/>
  <c r="N47" i="9"/>
  <c r="P47" i="9" s="1"/>
  <c r="M47" i="9"/>
  <c r="N46" i="9"/>
  <c r="M46" i="9"/>
  <c r="N45" i="9"/>
  <c r="O45" i="9" s="1"/>
  <c r="M45" i="9"/>
  <c r="N44" i="9"/>
  <c r="P44" i="9" s="1"/>
  <c r="M44" i="9"/>
  <c r="N43" i="9"/>
  <c r="M43" i="9"/>
  <c r="N42" i="9"/>
  <c r="O42" i="9" s="1"/>
  <c r="M42" i="9"/>
  <c r="N41" i="9"/>
  <c r="P41" i="9" s="1"/>
  <c r="M41" i="9"/>
  <c r="N40" i="9"/>
  <c r="M40" i="9"/>
  <c r="N39" i="9"/>
  <c r="O39" i="9" s="1"/>
  <c r="M39" i="9"/>
  <c r="N38" i="9"/>
  <c r="P38" i="9" s="1"/>
  <c r="M38" i="9"/>
  <c r="N37" i="9"/>
  <c r="M37" i="9"/>
  <c r="N36" i="9"/>
  <c r="O36" i="9" s="1"/>
  <c r="M36" i="9"/>
  <c r="N35" i="9"/>
  <c r="P35" i="9" s="1"/>
  <c r="M35" i="9"/>
  <c r="N34" i="9"/>
  <c r="M34" i="9"/>
  <c r="N33" i="9"/>
  <c r="O33" i="9" s="1"/>
  <c r="M33" i="9"/>
  <c r="N32" i="9"/>
  <c r="P32" i="9" s="1"/>
  <c r="M32" i="9"/>
  <c r="N31" i="9"/>
  <c r="M31" i="9"/>
  <c r="N30" i="9"/>
  <c r="O30" i="9" s="1"/>
  <c r="M30" i="9"/>
  <c r="N29" i="9"/>
  <c r="P29" i="9" s="1"/>
  <c r="M29" i="9"/>
  <c r="N28" i="9"/>
  <c r="M28" i="9"/>
  <c r="N26" i="9"/>
  <c r="P26" i="9" s="1"/>
  <c r="M26" i="9"/>
  <c r="N25" i="9"/>
  <c r="M25" i="9"/>
  <c r="N24" i="9"/>
  <c r="O24" i="9" s="1"/>
  <c r="M24" i="9"/>
  <c r="N23" i="9"/>
  <c r="P23" i="9" s="1"/>
  <c r="M23" i="9"/>
  <c r="N22" i="9"/>
  <c r="M22" i="9"/>
  <c r="N21" i="9"/>
  <c r="O21" i="9" s="1"/>
  <c r="M21" i="9"/>
  <c r="N20" i="9"/>
  <c r="P20" i="9" s="1"/>
  <c r="M20" i="9"/>
  <c r="N19" i="9"/>
  <c r="M19" i="9"/>
  <c r="N18" i="9"/>
  <c r="O18" i="9" s="1"/>
  <c r="M18" i="9"/>
  <c r="N17" i="9"/>
  <c r="M17" i="9"/>
  <c r="N16" i="9"/>
  <c r="M16" i="9"/>
  <c r="N15" i="9"/>
  <c r="O15" i="9" s="1"/>
  <c r="M15" i="9"/>
  <c r="N14" i="9"/>
  <c r="P14" i="9" s="1"/>
  <c r="M14" i="9"/>
  <c r="N13" i="9"/>
  <c r="M13" i="9"/>
  <c r="N12" i="9"/>
  <c r="O12" i="9" s="1"/>
  <c r="M12" i="9"/>
  <c r="N11" i="9"/>
  <c r="P11" i="9" s="1"/>
  <c r="M11" i="9"/>
  <c r="N10" i="9"/>
  <c r="M10" i="9"/>
  <c r="N9" i="9"/>
  <c r="O9" i="9" s="1"/>
  <c r="M9" i="9"/>
  <c r="N8" i="9"/>
  <c r="M8" i="9"/>
  <c r="G130" i="24"/>
  <c r="F130" i="24"/>
  <c r="G129" i="24"/>
  <c r="F129" i="24"/>
  <c r="G128" i="24"/>
  <c r="F128" i="24"/>
  <c r="G123" i="24"/>
  <c r="F123" i="24"/>
  <c r="G122" i="24"/>
  <c r="F122" i="24"/>
  <c r="G121" i="24"/>
  <c r="F121" i="24"/>
  <c r="G120" i="24"/>
  <c r="F120" i="24"/>
  <c r="G119" i="24"/>
  <c r="F119" i="24"/>
  <c r="G118" i="24"/>
  <c r="F118" i="24"/>
  <c r="G117" i="24"/>
  <c r="F117" i="24"/>
  <c r="G116" i="24"/>
  <c r="F116" i="24"/>
  <c r="G115" i="24"/>
  <c r="F115" i="24"/>
  <c r="G114" i="24"/>
  <c r="F114" i="24"/>
  <c r="G113" i="24"/>
  <c r="F113" i="24"/>
  <c r="G112" i="24"/>
  <c r="F112" i="24"/>
  <c r="G111" i="24"/>
  <c r="F111" i="24"/>
  <c r="G110" i="24"/>
  <c r="F110" i="24"/>
  <c r="G109" i="24"/>
  <c r="F109" i="24"/>
  <c r="G108" i="24"/>
  <c r="F108" i="24"/>
  <c r="G107" i="24"/>
  <c r="F107" i="24"/>
  <c r="G106" i="24"/>
  <c r="F106" i="24"/>
  <c r="G105" i="24"/>
  <c r="F105" i="24"/>
  <c r="G104" i="24"/>
  <c r="F104" i="24"/>
  <c r="G103" i="24"/>
  <c r="F103" i="24"/>
  <c r="G102" i="24"/>
  <c r="F102" i="24"/>
  <c r="G101" i="24"/>
  <c r="F101" i="24"/>
  <c r="G100" i="24"/>
  <c r="F100" i="24"/>
  <c r="G99" i="24"/>
  <c r="F99" i="24"/>
  <c r="G98" i="24"/>
  <c r="F98" i="24"/>
  <c r="G97" i="24"/>
  <c r="F97" i="24"/>
  <c r="G96" i="24"/>
  <c r="F96" i="24"/>
  <c r="G95" i="24"/>
  <c r="F95" i="24"/>
  <c r="G94" i="24"/>
  <c r="F94" i="24"/>
  <c r="G93" i="24"/>
  <c r="F93" i="24"/>
  <c r="G92" i="24"/>
  <c r="F92" i="24"/>
  <c r="G91" i="24"/>
  <c r="F91" i="24"/>
  <c r="G90" i="24"/>
  <c r="F90" i="24"/>
  <c r="G89" i="24"/>
  <c r="F89" i="24"/>
  <c r="G88" i="24"/>
  <c r="F88" i="24"/>
  <c r="G87" i="24"/>
  <c r="F87" i="24"/>
  <c r="G86" i="24"/>
  <c r="F86" i="24"/>
  <c r="G85" i="24"/>
  <c r="F85" i="24"/>
  <c r="G84" i="24"/>
  <c r="F84" i="24"/>
  <c r="G83" i="24"/>
  <c r="F83" i="24"/>
  <c r="G82" i="24"/>
  <c r="F82" i="24"/>
  <c r="G81" i="24"/>
  <c r="F81" i="24"/>
  <c r="G80" i="24"/>
  <c r="F80" i="24"/>
  <c r="G79" i="24"/>
  <c r="F79" i="24"/>
  <c r="G78" i="24"/>
  <c r="F78" i="24"/>
  <c r="G77" i="24"/>
  <c r="F77" i="24"/>
  <c r="G76" i="24"/>
  <c r="F76" i="24"/>
  <c r="G75" i="24"/>
  <c r="F75" i="24"/>
  <c r="G74" i="24"/>
  <c r="F74" i="24"/>
  <c r="G73" i="24"/>
  <c r="F73" i="24"/>
  <c r="G72" i="24"/>
  <c r="F72" i="24"/>
  <c r="G71" i="24"/>
  <c r="F71" i="24"/>
  <c r="G70" i="24"/>
  <c r="F70" i="24"/>
  <c r="G69" i="24"/>
  <c r="F69" i="24"/>
  <c r="G68" i="24"/>
  <c r="F68" i="24"/>
  <c r="G67" i="24"/>
  <c r="F67" i="24"/>
  <c r="G66" i="24"/>
  <c r="F66" i="24"/>
  <c r="G65" i="24"/>
  <c r="F65" i="24"/>
  <c r="G64" i="24"/>
  <c r="F64" i="24"/>
  <c r="G63" i="24"/>
  <c r="F63" i="24"/>
  <c r="G62" i="24"/>
  <c r="F62" i="24"/>
  <c r="G61" i="24"/>
  <c r="F61" i="24"/>
  <c r="G60" i="24"/>
  <c r="F60" i="24"/>
  <c r="G59" i="24"/>
  <c r="F59" i="24"/>
  <c r="G58" i="24"/>
  <c r="F58" i="24"/>
  <c r="G57" i="24"/>
  <c r="F57" i="24"/>
  <c r="G56" i="24"/>
  <c r="F56" i="24"/>
  <c r="G55" i="24"/>
  <c r="F55" i="24"/>
  <c r="G54" i="24"/>
  <c r="F54" i="24"/>
  <c r="G53" i="24"/>
  <c r="F53" i="24"/>
  <c r="G52" i="24"/>
  <c r="F52" i="24"/>
  <c r="G51" i="24"/>
  <c r="F51" i="24"/>
  <c r="G50" i="24"/>
  <c r="F50" i="24"/>
  <c r="G49" i="24"/>
  <c r="F49" i="24"/>
  <c r="G48" i="24"/>
  <c r="F48" i="24"/>
  <c r="G47" i="24"/>
  <c r="F47" i="24"/>
  <c r="G46" i="24"/>
  <c r="F46" i="24"/>
  <c r="G45" i="24"/>
  <c r="F45" i="24"/>
  <c r="G44" i="24"/>
  <c r="F44" i="24"/>
  <c r="G43" i="24"/>
  <c r="F43" i="24"/>
  <c r="G42" i="24"/>
  <c r="F42" i="24"/>
  <c r="G41" i="24"/>
  <c r="F41" i="24"/>
  <c r="G40" i="24"/>
  <c r="F40" i="24"/>
  <c r="G39" i="24"/>
  <c r="F39" i="24"/>
  <c r="G38" i="24"/>
  <c r="F38" i="24"/>
  <c r="G37" i="24"/>
  <c r="F37" i="24"/>
  <c r="G35" i="24"/>
  <c r="F35" i="24"/>
  <c r="G34" i="24"/>
  <c r="F34" i="24"/>
  <c r="G33" i="24"/>
  <c r="F33" i="24"/>
  <c r="G32" i="24"/>
  <c r="F32" i="24"/>
  <c r="G31" i="24"/>
  <c r="F31" i="24"/>
  <c r="G30" i="24"/>
  <c r="F30" i="24"/>
  <c r="G29" i="24"/>
  <c r="F29" i="24"/>
  <c r="G28" i="24"/>
  <c r="F28" i="24"/>
  <c r="G27" i="24"/>
  <c r="F27" i="24"/>
  <c r="G26" i="24"/>
  <c r="F26" i="24"/>
  <c r="G25" i="24"/>
  <c r="F25" i="24"/>
  <c r="G24" i="24"/>
  <c r="F24" i="24"/>
  <c r="G23" i="24"/>
  <c r="F23" i="24"/>
  <c r="G22" i="24"/>
  <c r="F22" i="24"/>
  <c r="G21" i="24"/>
  <c r="F21" i="24"/>
  <c r="G20" i="24"/>
  <c r="F20" i="24"/>
  <c r="G19" i="24"/>
  <c r="F19" i="24"/>
  <c r="G18" i="24"/>
  <c r="F18" i="24"/>
  <c r="G17" i="24"/>
  <c r="F17" i="24"/>
  <c r="G16" i="24"/>
  <c r="F16" i="24"/>
  <c r="G15" i="24"/>
  <c r="F15" i="24"/>
  <c r="G14" i="24"/>
  <c r="F14" i="24"/>
  <c r="G13" i="24"/>
  <c r="F13" i="24"/>
  <c r="G12" i="24"/>
  <c r="F12" i="24"/>
  <c r="G11" i="24"/>
  <c r="F11" i="24"/>
  <c r="G10" i="24"/>
  <c r="F10" i="24"/>
  <c r="G9" i="24"/>
  <c r="F9" i="24"/>
  <c r="G8" i="24"/>
  <c r="F8" i="24"/>
  <c r="G7" i="24"/>
  <c r="F7" i="24"/>
  <c r="P19" i="9" l="1"/>
  <c r="P22" i="9"/>
  <c r="P25" i="9"/>
  <c r="P28" i="9"/>
  <c r="P31" i="9"/>
  <c r="P34" i="9"/>
  <c r="P37" i="9"/>
  <c r="P40" i="9"/>
  <c r="P43" i="9"/>
  <c r="P46" i="9"/>
  <c r="P49" i="9"/>
  <c r="P52" i="9"/>
  <c r="P55" i="9"/>
  <c r="P58" i="9"/>
  <c r="P61" i="9"/>
  <c r="P64" i="9"/>
  <c r="P67" i="9"/>
  <c r="P70" i="9"/>
  <c r="P73" i="9"/>
  <c r="P76" i="9"/>
  <c r="P79" i="9"/>
  <c r="P82" i="9"/>
  <c r="P85" i="9"/>
  <c r="P88" i="9"/>
  <c r="P91" i="9"/>
  <c r="P98" i="9"/>
  <c r="P8" i="9"/>
  <c r="P17" i="9"/>
  <c r="P97" i="9"/>
  <c r="P99" i="9"/>
  <c r="P9" i="9"/>
  <c r="P45" i="9"/>
  <c r="P63" i="9"/>
  <c r="P81" i="9"/>
  <c r="P10" i="9"/>
  <c r="P12" i="9"/>
  <c r="P30" i="9"/>
  <c r="P48" i="9"/>
  <c r="P66" i="9"/>
  <c r="P84" i="9"/>
  <c r="P16" i="9"/>
  <c r="P15" i="9"/>
  <c r="P33" i="9"/>
  <c r="P51" i="9"/>
  <c r="P69" i="9"/>
  <c r="P87" i="9"/>
  <c r="P13" i="9"/>
  <c r="P18" i="9"/>
  <c r="P36" i="9"/>
  <c r="P54" i="9"/>
  <c r="P72" i="9"/>
  <c r="P90" i="9"/>
  <c r="P21" i="9"/>
  <c r="P39" i="9"/>
  <c r="P57" i="9"/>
  <c r="P75" i="9"/>
  <c r="P24" i="9"/>
  <c r="P42" i="9"/>
  <c r="P60" i="9"/>
  <c r="P78" i="9"/>
  <c r="O10" i="9"/>
  <c r="O13" i="9"/>
  <c r="O16" i="9"/>
  <c r="O19" i="9"/>
  <c r="O22" i="9"/>
  <c r="O25" i="9"/>
  <c r="O28" i="9"/>
  <c r="O31" i="9"/>
  <c r="O34" i="9"/>
  <c r="O37" i="9"/>
  <c r="O40" i="9"/>
  <c r="O43" i="9"/>
  <c r="O46" i="9"/>
  <c r="O49" i="9"/>
  <c r="O52" i="9"/>
  <c r="O55" i="9"/>
  <c r="O58" i="9"/>
  <c r="O61" i="9"/>
  <c r="O64" i="9"/>
  <c r="O67" i="9"/>
  <c r="O70" i="9"/>
  <c r="O73" i="9"/>
  <c r="O76" i="9"/>
  <c r="O79" i="9"/>
  <c r="O82" i="9"/>
  <c r="O85" i="9"/>
  <c r="O88" i="9"/>
  <c r="O91" i="9"/>
  <c r="O97" i="9"/>
  <c r="O8" i="9"/>
  <c r="O11" i="9"/>
  <c r="O14" i="9"/>
  <c r="O17" i="9"/>
  <c r="O20" i="9"/>
  <c r="O23" i="9"/>
  <c r="O26" i="9"/>
  <c r="O29" i="9"/>
  <c r="O32" i="9"/>
  <c r="O35" i="9"/>
  <c r="O38" i="9"/>
  <c r="O41" i="9"/>
  <c r="O44" i="9"/>
  <c r="O47" i="9"/>
  <c r="O50" i="9"/>
  <c r="O53" i="9"/>
  <c r="O56" i="9"/>
  <c r="O59" i="9"/>
  <c r="O62" i="9"/>
  <c r="O65" i="9"/>
  <c r="O68" i="9"/>
  <c r="O71" i="9"/>
  <c r="O74" i="9"/>
  <c r="O77" i="9"/>
  <c r="O80" i="9"/>
  <c r="O83" i="9"/>
  <c r="O86" i="9"/>
  <c r="O89" i="9"/>
  <c r="O92" i="9"/>
  <c r="O98" i="9"/>
  <c r="O99" i="9"/>
  <c r="F66" i="14"/>
  <c r="E66" i="14"/>
  <c r="D66" i="14"/>
  <c r="C66" i="14"/>
  <c r="H99" i="22" l="1"/>
  <c r="G99" i="22"/>
  <c r="H98" i="22"/>
  <c r="G98" i="22"/>
  <c r="H97" i="22"/>
  <c r="G97" i="22"/>
  <c r="H96" i="22"/>
  <c r="G96" i="22"/>
  <c r="H95" i="22"/>
  <c r="G95" i="22"/>
  <c r="H94" i="22"/>
  <c r="G94" i="22"/>
  <c r="H93" i="22"/>
  <c r="G93" i="22"/>
  <c r="H92" i="22"/>
  <c r="G92" i="22"/>
  <c r="H91" i="22"/>
  <c r="G91" i="22"/>
  <c r="H90" i="22"/>
  <c r="G90" i="22"/>
  <c r="H89" i="22"/>
  <c r="G89" i="22"/>
  <c r="H88" i="22"/>
  <c r="G88" i="22"/>
  <c r="H87" i="22"/>
  <c r="G87" i="22"/>
  <c r="H86" i="22"/>
  <c r="G86" i="22"/>
  <c r="H85" i="22"/>
  <c r="G85" i="22"/>
  <c r="H84" i="22"/>
  <c r="G84" i="22"/>
  <c r="H83" i="22"/>
  <c r="G83" i="22"/>
  <c r="H82" i="22"/>
  <c r="G82" i="22"/>
  <c r="H81" i="22"/>
  <c r="G81" i="22"/>
  <c r="H80" i="22"/>
  <c r="G80" i="22"/>
  <c r="H79" i="22"/>
  <c r="G79" i="22"/>
  <c r="H78" i="22"/>
  <c r="G78" i="22"/>
  <c r="H77" i="22"/>
  <c r="G77" i="22"/>
  <c r="H76" i="22"/>
  <c r="G76" i="22"/>
  <c r="H75" i="22"/>
  <c r="G75" i="22"/>
  <c r="H74" i="22"/>
  <c r="G74" i="22"/>
  <c r="H73" i="22"/>
  <c r="G73" i="22"/>
  <c r="H72" i="22"/>
  <c r="G72" i="22"/>
  <c r="H71" i="22"/>
  <c r="G71" i="22"/>
  <c r="H70" i="22"/>
  <c r="G70" i="22"/>
  <c r="H69" i="22"/>
  <c r="G69" i="22"/>
  <c r="H68" i="22"/>
  <c r="G68" i="22"/>
  <c r="H67" i="22"/>
  <c r="G67" i="22"/>
  <c r="H66" i="22"/>
  <c r="G66" i="22"/>
  <c r="H64" i="22"/>
  <c r="G64" i="22"/>
  <c r="H63" i="22"/>
  <c r="G63" i="22"/>
  <c r="H62" i="22"/>
  <c r="G62" i="22"/>
  <c r="H61" i="22"/>
  <c r="G61" i="22"/>
  <c r="H60" i="22"/>
  <c r="G60" i="22"/>
  <c r="H59" i="22"/>
  <c r="G59" i="22"/>
  <c r="H58" i="22"/>
  <c r="G58" i="22"/>
  <c r="H57" i="22"/>
  <c r="G57" i="22"/>
  <c r="H56" i="22"/>
  <c r="G56" i="22"/>
  <c r="H55" i="22"/>
  <c r="G55" i="22"/>
  <c r="H54" i="22"/>
  <c r="G54" i="22"/>
  <c r="H53" i="22"/>
  <c r="G53" i="22"/>
  <c r="H52" i="22"/>
  <c r="G52" i="22"/>
  <c r="H51" i="22"/>
  <c r="G51" i="22"/>
  <c r="H50" i="22"/>
  <c r="G50" i="22"/>
  <c r="H49" i="22"/>
  <c r="G49" i="22"/>
  <c r="H48" i="22"/>
  <c r="G48" i="22"/>
  <c r="H47" i="22"/>
  <c r="G47" i="22"/>
  <c r="H46" i="22"/>
  <c r="G46" i="22"/>
  <c r="H45" i="22"/>
  <c r="G45" i="22"/>
  <c r="H44" i="22"/>
  <c r="G44" i="22"/>
  <c r="H43" i="22"/>
  <c r="G43" i="22"/>
  <c r="H42" i="22"/>
  <c r="G42" i="22"/>
  <c r="H41" i="22"/>
  <c r="G41" i="22"/>
  <c r="H40" i="22"/>
  <c r="G40" i="22"/>
  <c r="H39" i="22"/>
  <c r="G39" i="22"/>
  <c r="H38" i="22"/>
  <c r="G38" i="22"/>
  <c r="H37" i="22"/>
  <c r="G37" i="22"/>
  <c r="H36" i="22"/>
  <c r="G36" i="22"/>
  <c r="H35" i="22"/>
  <c r="G35" i="22"/>
  <c r="H34" i="22"/>
  <c r="G34" i="22"/>
  <c r="H33" i="22"/>
  <c r="G33" i="22"/>
  <c r="H32" i="22"/>
  <c r="G32" i="22"/>
  <c r="H31" i="22"/>
  <c r="G31" i="22"/>
  <c r="H30" i="22"/>
  <c r="G30" i="22"/>
  <c r="H29" i="22"/>
  <c r="G29" i="22"/>
  <c r="H28" i="22"/>
  <c r="G28" i="22"/>
  <c r="H27" i="22"/>
  <c r="G27" i="22"/>
  <c r="H26" i="22"/>
  <c r="G26" i="22"/>
  <c r="L40" i="26" l="1"/>
  <c r="M40" i="26"/>
  <c r="M39" i="26"/>
  <c r="M38" i="26"/>
  <c r="M37" i="26"/>
  <c r="M36" i="26"/>
  <c r="M35" i="26"/>
  <c r="L39" i="26"/>
  <c r="L38" i="26"/>
  <c r="L37" i="26"/>
  <c r="L36" i="26"/>
  <c r="L35" i="26"/>
  <c r="K40" i="26"/>
  <c r="K39" i="26"/>
  <c r="K38" i="26"/>
  <c r="K37" i="26"/>
  <c r="K36" i="26"/>
  <c r="K35" i="26"/>
  <c r="M12" i="26"/>
  <c r="L12" i="26"/>
  <c r="K12" i="26"/>
  <c r="M33" i="26"/>
  <c r="L33" i="26"/>
  <c r="M31" i="26"/>
  <c r="L31" i="26"/>
  <c r="M30" i="26"/>
  <c r="L30" i="26"/>
  <c r="M28" i="26"/>
  <c r="L28" i="26"/>
  <c r="K33" i="26"/>
  <c r="K31" i="26"/>
  <c r="K30" i="26"/>
  <c r="K28" i="26"/>
  <c r="M26" i="26"/>
  <c r="L26" i="26"/>
  <c r="M25" i="26"/>
  <c r="L25" i="26"/>
  <c r="M24" i="26"/>
  <c r="L24" i="26"/>
  <c r="M23" i="26"/>
  <c r="L23" i="26"/>
  <c r="M22" i="26"/>
  <c r="L22" i="26"/>
  <c r="M21" i="26"/>
  <c r="L21" i="26"/>
  <c r="K26" i="26"/>
  <c r="K25" i="26"/>
  <c r="K24" i="26"/>
  <c r="K23" i="26"/>
  <c r="K22" i="26"/>
  <c r="K21" i="26"/>
  <c r="M19" i="26"/>
  <c r="L19" i="26"/>
  <c r="M18" i="26"/>
  <c r="L18" i="26"/>
  <c r="M17" i="26"/>
  <c r="L17" i="26"/>
  <c r="M16" i="26"/>
  <c r="L16" i="26"/>
  <c r="M15" i="26"/>
  <c r="L15" i="26"/>
  <c r="M14" i="26"/>
  <c r="L14" i="26"/>
  <c r="K19" i="26"/>
  <c r="K18" i="26"/>
  <c r="K17" i="26"/>
  <c r="K16" i="26"/>
  <c r="K15" i="26"/>
  <c r="K14" i="26"/>
  <c r="F224" i="26"/>
  <c r="F207" i="26"/>
  <c r="H207" i="26" s="1"/>
  <c r="D192" i="26"/>
  <c r="F186" i="26"/>
  <c r="F175" i="26"/>
  <c r="D169" i="26"/>
  <c r="E158" i="26"/>
  <c r="F152" i="26"/>
  <c r="F135" i="26"/>
  <c r="D117" i="26"/>
  <c r="F90" i="26"/>
  <c r="D87" i="26"/>
  <c r="F65" i="26"/>
  <c r="F56" i="26"/>
  <c r="H56" i="26" s="1"/>
  <c r="F43" i="26"/>
  <c r="D43" i="26"/>
  <c r="D19" i="26"/>
  <c r="D10" i="26"/>
  <c r="H33" i="26"/>
  <c r="G33" i="26"/>
  <c r="H25" i="26"/>
  <c r="G25" i="26"/>
  <c r="H118" i="26"/>
  <c r="G118" i="26"/>
  <c r="H104" i="26"/>
  <c r="G104" i="26"/>
  <c r="H103" i="26"/>
  <c r="G103" i="26"/>
  <c r="H102" i="26"/>
  <c r="G102" i="26"/>
  <c r="H101" i="26"/>
  <c r="G101" i="26"/>
  <c r="H100" i="26"/>
  <c r="G100" i="26"/>
  <c r="H99" i="26"/>
  <c r="G99" i="26"/>
  <c r="H98" i="26"/>
  <c r="G98" i="26"/>
  <c r="H97" i="26"/>
  <c r="G97" i="26"/>
  <c r="H96" i="26"/>
  <c r="G96" i="26"/>
  <c r="H95" i="26"/>
  <c r="G95" i="26"/>
  <c r="H94" i="26"/>
  <c r="G94" i="26"/>
  <c r="H93" i="26"/>
  <c r="G93" i="26"/>
  <c r="H92" i="26"/>
  <c r="G92" i="26"/>
  <c r="H91" i="26"/>
  <c r="G91" i="26"/>
  <c r="H90" i="26"/>
  <c r="G90" i="26"/>
  <c r="H89" i="26"/>
  <c r="G89" i="26"/>
  <c r="H88" i="26"/>
  <c r="G88" i="26"/>
  <c r="H87" i="26"/>
  <c r="G87" i="26"/>
  <c r="H85" i="26"/>
  <c r="G85" i="26"/>
  <c r="H84" i="26"/>
  <c r="G84" i="26"/>
  <c r="H83" i="26"/>
  <c r="G83" i="26"/>
  <c r="H82" i="26"/>
  <c r="G82" i="26"/>
  <c r="H81" i="26"/>
  <c r="G81" i="26"/>
  <c r="H80" i="26"/>
  <c r="G80" i="26"/>
  <c r="H79" i="26"/>
  <c r="G79" i="26"/>
  <c r="H78" i="26"/>
  <c r="G78" i="26"/>
  <c r="H77" i="26"/>
  <c r="G77" i="26"/>
  <c r="H76" i="26"/>
  <c r="G76" i="26"/>
  <c r="H75" i="26"/>
  <c r="G75" i="26"/>
  <c r="H74" i="26"/>
  <c r="G74" i="26"/>
  <c r="H73" i="26"/>
  <c r="G73" i="26"/>
  <c r="H72" i="26"/>
  <c r="G72" i="26"/>
  <c r="H71" i="26"/>
  <c r="G71" i="26"/>
  <c r="H70" i="26"/>
  <c r="G70" i="26"/>
  <c r="H69" i="26"/>
  <c r="G69" i="26"/>
  <c r="H68" i="26"/>
  <c r="G68" i="26"/>
  <c r="H67" i="26"/>
  <c r="G67" i="26"/>
  <c r="H66" i="26"/>
  <c r="G66" i="26"/>
  <c r="H65" i="26"/>
  <c r="G65" i="26"/>
  <c r="H64" i="26"/>
  <c r="G64" i="26"/>
  <c r="H63" i="26"/>
  <c r="G63" i="26"/>
  <c r="H62" i="26"/>
  <c r="G62" i="26"/>
  <c r="H61" i="26"/>
  <c r="G61" i="26"/>
  <c r="H60" i="26"/>
  <c r="G60" i="26"/>
  <c r="H59" i="26"/>
  <c r="G59" i="26"/>
  <c r="H58" i="26"/>
  <c r="G58" i="26"/>
  <c r="H57" i="26"/>
  <c r="G57" i="26"/>
  <c r="G56" i="26"/>
  <c r="H141" i="26"/>
  <c r="G141" i="26"/>
  <c r="H140" i="26"/>
  <c r="G140" i="26"/>
  <c r="H139" i="26"/>
  <c r="G139" i="26"/>
  <c r="H138" i="26"/>
  <c r="G138" i="26"/>
  <c r="H137" i="26"/>
  <c r="G137" i="26"/>
  <c r="H136" i="26"/>
  <c r="G136" i="26"/>
  <c r="H135" i="26"/>
  <c r="G135" i="26"/>
  <c r="H133" i="26"/>
  <c r="G133" i="26"/>
  <c r="H131" i="26"/>
  <c r="G131" i="26"/>
  <c r="H130" i="26"/>
  <c r="G130" i="26"/>
  <c r="H129" i="26"/>
  <c r="G129" i="26"/>
  <c r="H128" i="26"/>
  <c r="G128" i="26"/>
  <c r="H127" i="26"/>
  <c r="G127" i="26"/>
  <c r="H126" i="26"/>
  <c r="G126" i="26"/>
  <c r="H125" i="26"/>
  <c r="G125" i="26"/>
  <c r="H124" i="26"/>
  <c r="G124" i="26"/>
  <c r="H123" i="26"/>
  <c r="G123" i="26"/>
  <c r="H122" i="26"/>
  <c r="G122" i="26"/>
  <c r="H121" i="26"/>
  <c r="G121" i="26"/>
  <c r="H120" i="26"/>
  <c r="G120" i="26"/>
  <c r="H119" i="26"/>
  <c r="G119" i="26"/>
  <c r="H117" i="26"/>
  <c r="G117" i="26"/>
  <c r="H116" i="26"/>
  <c r="G116" i="26"/>
  <c r="H115" i="26"/>
  <c r="G115" i="26"/>
  <c r="H114" i="26"/>
  <c r="G114" i="26"/>
  <c r="H113" i="26"/>
  <c r="G113" i="26"/>
  <c r="H112" i="26"/>
  <c r="G112" i="26"/>
  <c r="H110" i="26"/>
  <c r="G110" i="26"/>
  <c r="H109" i="26"/>
  <c r="G109" i="26"/>
  <c r="H108" i="26"/>
  <c r="G108" i="26"/>
  <c r="H107" i="26"/>
  <c r="G107" i="26"/>
  <c r="H105" i="26"/>
  <c r="G105" i="26"/>
  <c r="H220" i="26"/>
  <c r="G220" i="26"/>
  <c r="H219" i="26"/>
  <c r="G219" i="26"/>
  <c r="H218" i="26"/>
  <c r="G218" i="26"/>
  <c r="H217" i="26"/>
  <c r="G217" i="26"/>
  <c r="H216" i="26"/>
  <c r="G216" i="26"/>
  <c r="H215" i="26"/>
  <c r="G215" i="26"/>
  <c r="H214" i="26"/>
  <c r="G214" i="26"/>
  <c r="H213" i="26"/>
  <c r="G213" i="26"/>
  <c r="H212" i="26"/>
  <c r="G212" i="26"/>
  <c r="H211" i="26"/>
  <c r="G211" i="26"/>
  <c r="H210" i="26"/>
  <c r="G210" i="26"/>
  <c r="H209" i="26"/>
  <c r="G209" i="26"/>
  <c r="H208" i="26"/>
  <c r="G208" i="26"/>
  <c r="H206" i="26"/>
  <c r="G206" i="26"/>
  <c r="H205" i="26"/>
  <c r="G205" i="26"/>
  <c r="H204" i="26"/>
  <c r="G204" i="26"/>
  <c r="H202" i="26"/>
  <c r="G202" i="26"/>
  <c r="H201" i="26"/>
  <c r="G201" i="26"/>
  <c r="H200" i="26"/>
  <c r="G200" i="26"/>
  <c r="H199" i="26"/>
  <c r="G199" i="26"/>
  <c r="H198" i="26"/>
  <c r="G198" i="26"/>
  <c r="H197" i="26"/>
  <c r="G197" i="26"/>
  <c r="H196" i="26"/>
  <c r="G196" i="26"/>
  <c r="H195" i="26"/>
  <c r="G195" i="26"/>
  <c r="H194" i="26"/>
  <c r="G194" i="26"/>
  <c r="H193" i="26"/>
  <c r="G193" i="26"/>
  <c r="H192" i="26"/>
  <c r="G192" i="26"/>
  <c r="H191" i="26"/>
  <c r="G191" i="26"/>
  <c r="H190" i="26"/>
  <c r="G190" i="26"/>
  <c r="H189" i="26"/>
  <c r="G189" i="26"/>
  <c r="H188" i="26"/>
  <c r="G188" i="26"/>
  <c r="H182" i="26"/>
  <c r="G182" i="26"/>
  <c r="H181" i="26"/>
  <c r="G181" i="26"/>
  <c r="H180" i="26"/>
  <c r="G180" i="26"/>
  <c r="H179" i="26"/>
  <c r="G179" i="26"/>
  <c r="H178" i="26"/>
  <c r="G178" i="26"/>
  <c r="H177" i="26"/>
  <c r="G177" i="26"/>
  <c r="H176" i="26"/>
  <c r="G176" i="26"/>
  <c r="H175" i="26"/>
  <c r="G175" i="26"/>
  <c r="H174" i="26"/>
  <c r="G174" i="26"/>
  <c r="H173" i="26"/>
  <c r="G173" i="26"/>
  <c r="H172" i="26"/>
  <c r="G172" i="26"/>
  <c r="H171" i="26"/>
  <c r="G171" i="26"/>
  <c r="H155" i="26"/>
  <c r="G155" i="26"/>
  <c r="H154" i="26"/>
  <c r="G154" i="26"/>
  <c r="H28" i="14"/>
  <c r="G28" i="14"/>
  <c r="H27" i="14"/>
  <c r="G27" i="14"/>
  <c r="H13" i="14"/>
  <c r="G13" i="14"/>
  <c r="G207" i="26" l="1"/>
  <c r="F60" i="26"/>
  <c r="F108" i="26"/>
  <c r="F107" i="26" s="1"/>
  <c r="F105" i="26" s="1"/>
  <c r="D92" i="14" l="1"/>
  <c r="D96" i="14" s="1"/>
  <c r="D91" i="14"/>
  <c r="D95" i="14" s="1"/>
  <c r="D90" i="14"/>
  <c r="D94" i="14" s="1"/>
  <c r="D89" i="14" l="1"/>
  <c r="D81" i="14"/>
  <c r="D93" i="14" l="1"/>
  <c r="D85" i="14"/>
  <c r="D59" i="14" l="1"/>
  <c r="F17" i="26" l="1"/>
  <c r="F16" i="26"/>
  <c r="F42" i="26"/>
  <c r="F41" i="26"/>
  <c r="F114" i="26" l="1"/>
  <c r="F10" i="22"/>
  <c r="F19" i="22" l="1"/>
  <c r="F177" i="26"/>
  <c r="F179" i="26"/>
  <c r="F182" i="26"/>
  <c r="F32" i="26" l="1"/>
  <c r="F153" i="26"/>
  <c r="F26" i="26"/>
  <c r="F154" i="26"/>
  <c r="F21" i="26"/>
  <c r="F155" i="26"/>
  <c r="F23" i="26"/>
  <c r="F95" i="26" l="1"/>
  <c r="F91" i="26"/>
  <c r="F92" i="26"/>
  <c r="F72" i="26"/>
  <c r="F82" i="26"/>
  <c r="F67" i="26"/>
  <c r="F209" i="26" l="1"/>
  <c r="F196" i="26"/>
  <c r="F199" i="26" l="1"/>
  <c r="F194" i="26"/>
  <c r="F212" i="26"/>
  <c r="F201" i="26"/>
  <c r="F192" i="26" l="1"/>
  <c r="F38" i="26"/>
  <c r="F37" i="26" l="1"/>
  <c r="F27" i="26" l="1"/>
  <c r="F36" i="26"/>
  <c r="F22" i="26"/>
  <c r="F25" i="26"/>
  <c r="F33" i="26"/>
  <c r="F19" i="26" l="1"/>
  <c r="G46" i="26" l="1"/>
  <c r="H46" i="26"/>
  <c r="G35" i="26"/>
  <c r="H35" i="26"/>
  <c r="E88" i="14"/>
  <c r="E87" i="14"/>
  <c r="E86" i="14"/>
  <c r="E90" i="14" s="1"/>
  <c r="E94" i="14" s="1"/>
  <c r="E25" i="14"/>
  <c r="E99" i="22"/>
  <c r="E95" i="22"/>
  <c r="E93" i="22"/>
  <c r="E92" i="22"/>
  <c r="E87" i="22"/>
  <c r="E85" i="22"/>
  <c r="E80" i="22"/>
  <c r="E79" i="22"/>
  <c r="E78" i="22"/>
  <c r="E77" i="22"/>
  <c r="E76" i="22"/>
  <c r="E75" i="22"/>
  <c r="E73" i="22"/>
  <c r="E72" i="22"/>
  <c r="E71" i="22"/>
  <c r="E67" i="22"/>
  <c r="E66" i="22" s="1"/>
  <c r="E64" i="22"/>
  <c r="E56" i="22"/>
  <c r="E57" i="22"/>
  <c r="E55" i="22"/>
  <c r="E54" i="22"/>
  <c r="E53" i="22"/>
  <c r="E48" i="22"/>
  <c r="E50" i="22"/>
  <c r="E47" i="22"/>
  <c r="E51" i="22"/>
  <c r="E44" i="22"/>
  <c r="E42" i="22"/>
  <c r="E40" i="22"/>
  <c r="E41" i="22"/>
  <c r="E37" i="22"/>
  <c r="E36" i="22"/>
  <c r="E35" i="22"/>
  <c r="E34" i="22"/>
  <c r="E32" i="22"/>
  <c r="E31" i="22"/>
  <c r="E30" i="22"/>
  <c r="E29" i="22"/>
  <c r="E28" i="22"/>
  <c r="E24" i="22"/>
  <c r="E91" i="22" l="1"/>
  <c r="E70" i="22"/>
  <c r="E33" i="22"/>
  <c r="F117" i="26"/>
  <c r="E27" i="9" l="1"/>
  <c r="E96" i="9"/>
  <c r="F96" i="9"/>
  <c r="H96" i="9"/>
  <c r="I96" i="9"/>
  <c r="M96" i="9" s="1"/>
  <c r="J96" i="9"/>
  <c r="K96" i="9"/>
  <c r="L96" i="9"/>
  <c r="G96" i="9"/>
  <c r="F27" i="9"/>
  <c r="G27" i="9"/>
  <c r="H27" i="9"/>
  <c r="I27" i="9"/>
  <c r="J27" i="9"/>
  <c r="K27" i="9"/>
  <c r="L27" i="9"/>
  <c r="N27" i="9" l="1"/>
  <c r="M27" i="9"/>
  <c r="N96" i="9"/>
  <c r="N100" i="9" s="1"/>
  <c r="E7" i="9"/>
  <c r="F7" i="9"/>
  <c r="G7" i="9"/>
  <c r="G100" i="9" s="1"/>
  <c r="H7" i="9"/>
  <c r="I7" i="9"/>
  <c r="J7" i="9"/>
  <c r="K7" i="9"/>
  <c r="L7" i="9"/>
  <c r="M7" i="9" l="1"/>
  <c r="N7" i="9"/>
  <c r="O27" i="9"/>
  <c r="P27" i="9"/>
  <c r="O96" i="9"/>
  <c r="P96" i="9"/>
  <c r="E127" i="24"/>
  <c r="E38" i="26" l="1"/>
  <c r="D38" i="26"/>
  <c r="D204" i="26"/>
  <c r="D175" i="26"/>
  <c r="D152" i="26"/>
  <c r="D102" i="26"/>
  <c r="D101" i="26" s="1"/>
  <c r="E125" i="26"/>
  <c r="F125" i="26"/>
  <c r="D125" i="26"/>
  <c r="F86" i="14" l="1"/>
  <c r="F46" i="14" l="1"/>
  <c r="F47" i="14"/>
  <c r="F48" i="14"/>
  <c r="F49" i="14"/>
  <c r="F45" i="14"/>
  <c r="F33" i="22"/>
  <c r="D10" i="22" l="1"/>
  <c r="E10" i="22"/>
  <c r="F164" i="26" l="1"/>
  <c r="F163" i="26" s="1"/>
  <c r="F161" i="26" s="1"/>
  <c r="E91" i="14" l="1"/>
  <c r="E95" i="14" s="1"/>
  <c r="E92" i="14"/>
  <c r="E96" i="14" s="1"/>
  <c r="F102" i="26" l="1"/>
  <c r="F55" i="26" l="1"/>
  <c r="F87" i="14" l="1"/>
  <c r="F88" i="14"/>
  <c r="C91" i="14"/>
  <c r="C95" i="14" s="1"/>
  <c r="C92" i="14"/>
  <c r="C96" i="14" s="1"/>
  <c r="C90" i="14"/>
  <c r="C94" i="14" s="1"/>
  <c r="E36" i="24" l="1"/>
  <c r="D36" i="24" l="1"/>
  <c r="F36" i="24" s="1"/>
  <c r="G36" i="24" l="1"/>
  <c r="C6" i="24"/>
  <c r="C36" i="24"/>
  <c r="F204" i="26" l="1"/>
  <c r="E152" i="26"/>
  <c r="E204" i="26"/>
  <c r="D186" i="26"/>
  <c r="E19" i="26"/>
  <c r="G24" i="26"/>
  <c r="H24" i="26"/>
  <c r="D218" i="26" l="1"/>
  <c r="D217" i="26" s="1"/>
  <c r="D135" i="26"/>
  <c r="D90" i="26"/>
  <c r="D65" i="26"/>
  <c r="D56" i="26"/>
  <c r="D86" i="26" l="1"/>
  <c r="D55" i="26"/>
  <c r="D53" i="26" l="1"/>
  <c r="F23" i="22"/>
  <c r="E23" i="22"/>
  <c r="F218" i="26" l="1"/>
  <c r="D207" i="26"/>
  <c r="D203" i="26" s="1"/>
  <c r="D185" i="26"/>
  <c r="D168" i="26"/>
  <c r="D166" i="26" s="1"/>
  <c r="F169" i="26"/>
  <c r="H169" i="26" s="1"/>
  <c r="D145" i="26"/>
  <c r="D127" i="26"/>
  <c r="D124" i="26" s="1"/>
  <c r="D113" i="26"/>
  <c r="E102" i="26"/>
  <c r="E90" i="26"/>
  <c r="E87" i="26"/>
  <c r="F87" i="26"/>
  <c r="E65" i="26"/>
  <c r="E56" i="26"/>
  <c r="D37" i="26"/>
  <c r="H228" i="26"/>
  <c r="G228" i="26"/>
  <c r="H225" i="26"/>
  <c r="G225" i="26"/>
  <c r="H187" i="26"/>
  <c r="G187" i="26"/>
  <c r="H170" i="26"/>
  <c r="G170" i="26"/>
  <c r="H165" i="26"/>
  <c r="G165" i="26"/>
  <c r="H164" i="26"/>
  <c r="G164" i="26"/>
  <c r="H163" i="26"/>
  <c r="G163" i="26"/>
  <c r="H160" i="26"/>
  <c r="G160" i="26"/>
  <c r="H159" i="26"/>
  <c r="G159" i="26"/>
  <c r="H156" i="26"/>
  <c r="G156" i="26"/>
  <c r="H153" i="26"/>
  <c r="G153" i="26"/>
  <c r="H148" i="26"/>
  <c r="G148" i="26"/>
  <c r="H147" i="26"/>
  <c r="G147" i="26"/>
  <c r="H146" i="26"/>
  <c r="G146" i="26"/>
  <c r="H52" i="26"/>
  <c r="G52" i="26"/>
  <c r="H50" i="26"/>
  <c r="G50" i="26"/>
  <c r="H49" i="26"/>
  <c r="G49" i="26"/>
  <c r="H47" i="26"/>
  <c r="G47" i="26"/>
  <c r="H44" i="26"/>
  <c r="G44" i="26"/>
  <c r="H42" i="26"/>
  <c r="G42" i="26"/>
  <c r="H41" i="26"/>
  <c r="G41" i="26"/>
  <c r="H40" i="26"/>
  <c r="G40" i="26"/>
  <c r="H36" i="26"/>
  <c r="G36" i="26"/>
  <c r="H34" i="26"/>
  <c r="G34" i="26"/>
  <c r="H32" i="26"/>
  <c r="G32" i="26"/>
  <c r="H31" i="26"/>
  <c r="G31" i="26"/>
  <c r="H30" i="26"/>
  <c r="G30" i="26"/>
  <c r="H29" i="26"/>
  <c r="G29" i="26"/>
  <c r="H28" i="26"/>
  <c r="G28" i="26"/>
  <c r="H27" i="26"/>
  <c r="G27" i="26"/>
  <c r="H26" i="26"/>
  <c r="G26" i="26"/>
  <c r="H23" i="26"/>
  <c r="G23" i="26"/>
  <c r="H22" i="26"/>
  <c r="G22" i="26"/>
  <c r="H21" i="26"/>
  <c r="G21" i="26"/>
  <c r="H20" i="26"/>
  <c r="G20" i="26"/>
  <c r="H18" i="26"/>
  <c r="G18" i="26"/>
  <c r="H17" i="26"/>
  <c r="G17" i="26"/>
  <c r="H16" i="26"/>
  <c r="G16" i="26"/>
  <c r="H15" i="26"/>
  <c r="G15" i="26"/>
  <c r="H14" i="26"/>
  <c r="G14" i="26"/>
  <c r="H13" i="26"/>
  <c r="G13" i="26"/>
  <c r="H12" i="26"/>
  <c r="G12" i="26"/>
  <c r="H11" i="26"/>
  <c r="G11" i="26"/>
  <c r="F10" i="26"/>
  <c r="E10" i="26"/>
  <c r="G169" i="26" l="1"/>
  <c r="F86" i="26"/>
  <c r="H86" i="26" l="1"/>
  <c r="G86" i="26"/>
  <c r="F91" i="22"/>
  <c r="F70" i="22"/>
  <c r="C89" i="14" l="1"/>
  <c r="F90" i="14" l="1"/>
  <c r="F94" i="14" s="1"/>
  <c r="J100" i="9" l="1"/>
  <c r="K100" i="9"/>
  <c r="L100" i="9"/>
  <c r="D6" i="24" l="1"/>
  <c r="E6" i="24"/>
  <c r="D70" i="22" l="1"/>
  <c r="D127" i="24"/>
  <c r="F127" i="24" l="1"/>
  <c r="G127" i="24"/>
  <c r="E113" i="26"/>
  <c r="E117" i="26"/>
  <c r="E127" i="26"/>
  <c r="E124" i="26" s="1"/>
  <c r="E112" i="26" l="1"/>
  <c r="H75" i="14" l="1"/>
  <c r="G75" i="14"/>
  <c r="H74" i="14"/>
  <c r="G74" i="14"/>
  <c r="H161" i="26" l="1"/>
  <c r="G161" i="26"/>
  <c r="E7" i="22" l="1"/>
  <c r="D7" i="22"/>
  <c r="D9" i="26" l="1"/>
  <c r="H19" i="26"/>
  <c r="G19" i="26"/>
  <c r="E89" i="14" l="1"/>
  <c r="E85" i="14"/>
  <c r="F76" i="14" l="1"/>
  <c r="F53" i="14"/>
  <c r="H76" i="14" l="1"/>
  <c r="G76" i="14"/>
  <c r="D55" i="14"/>
  <c r="E132" i="26" l="1"/>
  <c r="F113" i="26" l="1"/>
  <c r="F112" i="26" l="1"/>
  <c r="F158" i="26"/>
  <c r="G38" i="26" l="1"/>
  <c r="H38" i="26"/>
  <c r="E43" i="26" l="1"/>
  <c r="E37" i="26" l="1"/>
  <c r="H43" i="26"/>
  <c r="G43" i="26"/>
  <c r="E9" i="26"/>
  <c r="E55" i="26"/>
  <c r="G37" i="26" l="1"/>
  <c r="H37" i="26"/>
  <c r="D33" i="22" l="1"/>
  <c r="D19" i="22"/>
  <c r="D164" i="26"/>
  <c r="D163" i="26" s="1"/>
  <c r="D161" i="26" s="1"/>
  <c r="E51" i="26"/>
  <c r="F51" i="26"/>
  <c r="D51" i="26"/>
  <c r="G51" i="26" l="1"/>
  <c r="H51" i="26"/>
  <c r="D48" i="26"/>
  <c r="F48" i="26"/>
  <c r="F60" i="14" l="1"/>
  <c r="F67" i="14" l="1"/>
  <c r="F66" i="22" l="1"/>
  <c r="F9" i="26" l="1"/>
  <c r="F7" i="26" l="1"/>
  <c r="F101" i="26" l="1"/>
  <c r="F53" i="26" l="1"/>
  <c r="F151" i="26"/>
  <c r="C22" i="14" l="1"/>
  <c r="G67" i="14" l="1"/>
  <c r="G65" i="14"/>
  <c r="G63" i="14"/>
  <c r="G62" i="14"/>
  <c r="G61" i="14"/>
  <c r="G60" i="14"/>
  <c r="G58" i="14"/>
  <c r="G56" i="14"/>
  <c r="G54" i="14"/>
  <c r="G53" i="14"/>
  <c r="H77" i="14"/>
  <c r="G77" i="14"/>
  <c r="H20" i="22" l="1"/>
  <c r="G20" i="22"/>
  <c r="H18" i="22"/>
  <c r="G18" i="22"/>
  <c r="H15" i="22"/>
  <c r="G15" i="22"/>
  <c r="H14" i="22"/>
  <c r="G14" i="22"/>
  <c r="H12" i="22"/>
  <c r="G12" i="22"/>
  <c r="H11" i="22"/>
  <c r="G11" i="22"/>
  <c r="H9" i="22"/>
  <c r="G9" i="22"/>
  <c r="F41" i="14" l="1"/>
  <c r="H16" i="22" l="1"/>
  <c r="G16" i="22"/>
  <c r="F73" i="14" l="1"/>
  <c r="F72" i="14"/>
  <c r="F100" i="9"/>
  <c r="I100" i="9"/>
  <c r="E100" i="9"/>
  <c r="H72" i="14" l="1"/>
  <c r="G72" i="14"/>
  <c r="G73" i="14"/>
  <c r="H73" i="14"/>
  <c r="C85" i="14" l="1"/>
  <c r="F92" i="14" l="1"/>
  <c r="F96" i="14" s="1"/>
  <c r="F91" i="14"/>
  <c r="F95" i="14" s="1"/>
  <c r="F38" i="14"/>
  <c r="F217" i="26" l="1"/>
  <c r="F168" i="26"/>
  <c r="F227" i="26"/>
  <c r="F166" i="26" l="1"/>
  <c r="H168" i="26"/>
  <c r="G168" i="26"/>
  <c r="F226" i="26"/>
  <c r="H55" i="26" l="1"/>
  <c r="G55" i="26"/>
  <c r="E166" i="26"/>
  <c r="D227" i="26"/>
  <c r="H166" i="26" l="1"/>
  <c r="G166" i="26"/>
  <c r="F185" i="26"/>
  <c r="E227" i="26" l="1"/>
  <c r="E226" i="26" l="1"/>
  <c r="G227" i="26"/>
  <c r="H227" i="26"/>
  <c r="H226" i="26" l="1"/>
  <c r="G226" i="26"/>
  <c r="E48" i="26"/>
  <c r="E7" i="26" l="1"/>
  <c r="G48" i="26"/>
  <c r="H48" i="26"/>
  <c r="F203" i="26" l="1"/>
  <c r="E101" i="26"/>
  <c r="E86" i="26"/>
  <c r="F183" i="26" l="1"/>
  <c r="H203" i="26"/>
  <c r="G203" i="26"/>
  <c r="E53" i="26"/>
  <c r="C127" i="24"/>
  <c r="C5" i="24" s="1"/>
  <c r="H53" i="26" l="1"/>
  <c r="G53" i="26"/>
  <c r="D23" i="22"/>
  <c r="D66" i="22"/>
  <c r="D91" i="22"/>
  <c r="D134" i="26" l="1"/>
  <c r="D132" i="26" s="1"/>
  <c r="H25" i="22" l="1"/>
  <c r="G25" i="22"/>
  <c r="H24" i="22"/>
  <c r="G24" i="22"/>
  <c r="H8" i="22" l="1"/>
  <c r="G8" i="22"/>
  <c r="F134" i="26" l="1"/>
  <c r="H134" i="26" l="1"/>
  <c r="G134" i="26"/>
  <c r="F132" i="26"/>
  <c r="H132" i="26" l="1"/>
  <c r="G132" i="26"/>
  <c r="D226" i="26"/>
  <c r="G66" i="14" l="1"/>
  <c r="F59" i="14"/>
  <c r="C59" i="14"/>
  <c r="C57" i="14" s="1"/>
  <c r="F55" i="14"/>
  <c r="G55" i="14" s="1"/>
  <c r="C55" i="14"/>
  <c r="F89" i="14"/>
  <c r="F93" i="14" s="1"/>
  <c r="G49" i="14"/>
  <c r="F17" i="14"/>
  <c r="F18" i="14"/>
  <c r="F19" i="14"/>
  <c r="F20" i="14"/>
  <c r="F21" i="14"/>
  <c r="F23" i="14"/>
  <c r="F24" i="14"/>
  <c r="F26" i="14"/>
  <c r="F27" i="14"/>
  <c r="F28" i="14"/>
  <c r="F29" i="14"/>
  <c r="F30" i="14"/>
  <c r="F33" i="14"/>
  <c r="F35" i="14"/>
  <c r="F37" i="14"/>
  <c r="F40" i="14"/>
  <c r="F10" i="14"/>
  <c r="F11" i="14"/>
  <c r="F12" i="14"/>
  <c r="F13" i="14"/>
  <c r="F14" i="14"/>
  <c r="G59" i="14" l="1"/>
  <c r="H59" i="14"/>
  <c r="E19" i="22"/>
  <c r="D224" i="26" l="1"/>
  <c r="E224" i="26"/>
  <c r="E223" i="26" l="1"/>
  <c r="E221" i="26" s="1"/>
  <c r="D223" i="26"/>
  <c r="D221" i="26" s="1"/>
  <c r="F34" i="14" l="1"/>
  <c r="H34" i="14" s="1"/>
  <c r="H19" i="22" l="1"/>
  <c r="G19" i="22"/>
  <c r="D151" i="26" l="1"/>
  <c r="E192" i="26" l="1"/>
  <c r="D158" i="26" l="1"/>
  <c r="D157" i="26" l="1"/>
  <c r="D149" i="26" l="1"/>
  <c r="E167" i="26" l="1"/>
  <c r="F157" i="26" l="1"/>
  <c r="F149" i="26" l="1"/>
  <c r="H224" i="26" l="1"/>
  <c r="G224" i="26"/>
  <c r="F223" i="26"/>
  <c r="H223" i="26" l="1"/>
  <c r="G223" i="26"/>
  <c r="F221" i="26"/>
  <c r="E207" i="26"/>
  <c r="D183" i="26"/>
  <c r="H221" i="26" l="1"/>
  <c r="G221" i="26"/>
  <c r="E203" i="26"/>
  <c r="E186" i="26"/>
  <c r="H186" i="26" l="1"/>
  <c r="G186" i="26"/>
  <c r="E185" i="26"/>
  <c r="E183" i="26" s="1"/>
  <c r="G185" i="26" l="1"/>
  <c r="H185" i="26"/>
  <c r="G5" i="24"/>
  <c r="G183" i="26" l="1"/>
  <c r="H183" i="26"/>
  <c r="D17" i="22"/>
  <c r="E17" i="22"/>
  <c r="F17" i="22"/>
  <c r="F32" i="14" s="1"/>
  <c r="F7" i="22"/>
  <c r="F8" i="14" s="1"/>
  <c r="D144" i="26"/>
  <c r="F145" i="26"/>
  <c r="E145" i="26"/>
  <c r="H158" i="26" l="1"/>
  <c r="G158" i="26"/>
  <c r="G152" i="26"/>
  <c r="H152" i="26"/>
  <c r="H145" i="26"/>
  <c r="G145" i="26"/>
  <c r="D142" i="26"/>
  <c r="F6" i="22"/>
  <c r="E144" i="26"/>
  <c r="H17" i="22"/>
  <c r="G17" i="22"/>
  <c r="H10" i="22"/>
  <c r="G10" i="22"/>
  <c r="E151" i="26"/>
  <c r="F144" i="26"/>
  <c r="E157" i="26"/>
  <c r="D6" i="22"/>
  <c r="E6" i="22"/>
  <c r="F127" i="26"/>
  <c r="F124" i="26" l="1"/>
  <c r="E110" i="26"/>
  <c r="H157" i="26"/>
  <c r="G157" i="26"/>
  <c r="G151" i="26"/>
  <c r="H151" i="26"/>
  <c r="H144" i="26"/>
  <c r="G144" i="26"/>
  <c r="D112" i="26"/>
  <c r="E142" i="26"/>
  <c r="E149" i="26"/>
  <c r="G6" i="22"/>
  <c r="H6" i="22"/>
  <c r="F142" i="26"/>
  <c r="H10" i="26"/>
  <c r="G10" i="26"/>
  <c r="E6" i="26" l="1"/>
  <c r="H149" i="26"/>
  <c r="G149" i="26"/>
  <c r="H142" i="26"/>
  <c r="G142" i="26"/>
  <c r="F110" i="26"/>
  <c r="F6" i="26" s="1"/>
  <c r="D110" i="26"/>
  <c r="D7" i="26"/>
  <c r="I110" i="26" l="1"/>
  <c r="D6" i="26"/>
  <c r="C25" i="14"/>
  <c r="F50" i="14"/>
  <c r="E50" i="14"/>
  <c r="D50" i="14"/>
  <c r="C50" i="14"/>
  <c r="H49" i="14"/>
  <c r="H48" i="14"/>
  <c r="G48" i="14"/>
  <c r="H47" i="14"/>
  <c r="G47" i="14"/>
  <c r="H46" i="14"/>
  <c r="G46" i="14"/>
  <c r="H45" i="14"/>
  <c r="G45" i="14"/>
  <c r="C81" i="14"/>
  <c r="C93" i="14" s="1"/>
  <c r="E81" i="14"/>
  <c r="E93" i="14" s="1"/>
  <c r="F85" i="14"/>
  <c r="G50" i="14" l="1"/>
  <c r="H50" i="14"/>
  <c r="G6" i="24"/>
  <c r="H7" i="22" l="1"/>
  <c r="G7" i="22"/>
  <c r="F6" i="24" l="1"/>
  <c r="H9" i="26"/>
  <c r="G9" i="26"/>
  <c r="H23" i="22"/>
  <c r="G23" i="22"/>
  <c r="P7" i="9" l="1"/>
  <c r="H7" i="26"/>
  <c r="G7" i="26"/>
  <c r="O7" i="9"/>
  <c r="F5" i="24"/>
  <c r="P100" i="9" l="1"/>
  <c r="O100" i="9"/>
  <c r="H71" i="14"/>
  <c r="G71" i="14"/>
  <c r="H53" i="14"/>
  <c r="H54" i="14"/>
  <c r="H55" i="14"/>
  <c r="H56" i="14"/>
  <c r="H58" i="14"/>
  <c r="H60" i="14"/>
  <c r="H61" i="14"/>
  <c r="H62" i="14"/>
  <c r="H63" i="14"/>
  <c r="H65" i="14"/>
  <c r="H66" i="14"/>
  <c r="H67" i="14"/>
  <c r="H10" i="14"/>
  <c r="H11" i="14"/>
  <c r="H12" i="14"/>
  <c r="H14" i="14"/>
  <c r="H17" i="14"/>
  <c r="H18" i="14"/>
  <c r="H19" i="14"/>
  <c r="H20" i="14"/>
  <c r="H21" i="14"/>
  <c r="H23" i="14"/>
  <c r="H24" i="14"/>
  <c r="H26" i="14"/>
  <c r="H29" i="14"/>
  <c r="H30" i="14"/>
  <c r="H32" i="14"/>
  <c r="H33" i="14"/>
  <c r="H35" i="14"/>
  <c r="H37" i="14"/>
  <c r="H38" i="14"/>
  <c r="H40" i="14"/>
  <c r="H41" i="14"/>
  <c r="H8" i="14" l="1"/>
  <c r="G18" i="14"/>
  <c r="G19" i="14"/>
  <c r="G20" i="14"/>
  <c r="G21" i="14"/>
  <c r="G10" i="14"/>
  <c r="G11" i="14"/>
  <c r="G12" i="14"/>
  <c r="G14" i="14"/>
  <c r="G17" i="14"/>
  <c r="G23" i="14"/>
  <c r="G24" i="14"/>
  <c r="G26" i="14"/>
  <c r="G29" i="14"/>
  <c r="G30" i="14"/>
  <c r="G32" i="14"/>
  <c r="G33" i="14"/>
  <c r="G34" i="14"/>
  <c r="G35" i="14"/>
  <c r="G37" i="14"/>
  <c r="G38" i="14"/>
  <c r="G40" i="14"/>
  <c r="G41" i="14"/>
  <c r="G8" i="14"/>
  <c r="H6" i="26" l="1"/>
  <c r="G6" i="26"/>
  <c r="C70" i="14"/>
  <c r="D70" i="14"/>
  <c r="E70" i="14"/>
  <c r="F70" i="14"/>
  <c r="G70" i="14" l="1"/>
  <c r="H70" i="14"/>
  <c r="D57" i="14"/>
  <c r="D52" i="14"/>
  <c r="C52" i="14"/>
  <c r="D64" i="14"/>
  <c r="E64" i="14"/>
  <c r="F64" i="14"/>
  <c r="C64" i="14"/>
  <c r="E57" i="14"/>
  <c r="F57" i="14"/>
  <c r="E52" i="14"/>
  <c r="F52" i="14"/>
  <c r="D22" i="14"/>
  <c r="E22" i="14"/>
  <c r="E42" i="14" s="1"/>
  <c r="C42" i="14"/>
  <c r="G64" i="14" l="1"/>
  <c r="G57" i="14"/>
  <c r="H52" i="14"/>
  <c r="G52" i="14"/>
  <c r="D42" i="14"/>
  <c r="F22" i="14"/>
  <c r="H22" i="14" s="1"/>
  <c r="H64" i="14"/>
  <c r="H57" i="14"/>
  <c r="C68" i="14"/>
  <c r="E68" i="14"/>
  <c r="D68" i="14"/>
  <c r="F68" i="14"/>
  <c r="D25" i="14"/>
  <c r="D16" i="14"/>
  <c r="F16" i="14" s="1"/>
  <c r="E16" i="14"/>
  <c r="C16" i="14"/>
  <c r="D9" i="14"/>
  <c r="E9" i="14"/>
  <c r="C9" i="14"/>
  <c r="G68" i="14" l="1"/>
  <c r="F42" i="14"/>
  <c r="H42" i="14" s="1"/>
  <c r="G22" i="14"/>
  <c r="F9" i="14"/>
  <c r="H9" i="14" s="1"/>
  <c r="D15" i="14"/>
  <c r="D31" i="14" s="1"/>
  <c r="D36" i="14" s="1"/>
  <c r="F25" i="14"/>
  <c r="C43" i="14"/>
  <c r="D43" i="14"/>
  <c r="F43" i="14" s="1"/>
  <c r="E15" i="14"/>
  <c r="E43" i="14"/>
  <c r="H16" i="14"/>
  <c r="H68" i="14"/>
  <c r="G16" i="14"/>
  <c r="E31" i="14" l="1"/>
  <c r="E36" i="14" s="1"/>
  <c r="E39" i="14" s="1"/>
  <c r="G42" i="14"/>
  <c r="G9" i="14"/>
  <c r="H25" i="14"/>
  <c r="G25" i="14"/>
  <c r="G43" i="14"/>
  <c r="H43" i="14"/>
  <c r="F31" i="14" l="1"/>
  <c r="F15" i="14"/>
  <c r="C15" i="14"/>
  <c r="D39" i="14" l="1"/>
  <c r="F39" i="14" s="1"/>
  <c r="G15" i="14"/>
  <c r="H15" i="14"/>
  <c r="H31" i="14"/>
  <c r="G31" i="14"/>
  <c r="C31" i="14"/>
  <c r="C36" i="14" l="1"/>
  <c r="C39" i="14" s="1"/>
  <c r="F36" i="14"/>
  <c r="H36" i="14" s="1"/>
  <c r="H39" i="14"/>
  <c r="G39" i="14"/>
  <c r="G36" i="14" l="1"/>
</calcChain>
</file>

<file path=xl/sharedStrings.xml><?xml version="1.0" encoding="utf-8"?>
<sst xmlns="http://schemas.openxmlformats.org/spreadsheetml/2006/main" count="890" uniqueCount="462">
  <si>
    <t>придбання (виготовлення) основних засобів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</si>
  <si>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</si>
  <si>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</si>
  <si>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</si>
  <si>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</si>
  <si>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 xml:space="preserve">Код рядка </t>
  </si>
  <si>
    <t>Інші операційні витрати</t>
  </si>
  <si>
    <t>придбання (виготовлення) інших необоротних матеріальних активів</t>
  </si>
  <si>
    <t>№ з/п</t>
  </si>
  <si>
    <t>Усього</t>
  </si>
  <si>
    <t>(посада)</t>
  </si>
  <si>
    <t>(підпис)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</si>
  <si>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</si>
  <si>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</si>
  <si>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</si>
  <si>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Фінансовий результат до оподаткування</t>
  </si>
  <si>
    <t xml:space="preserve">         (ініціали, прізвище)    </t>
  </si>
  <si>
    <t>(ініціали, прізвище)</t>
  </si>
  <si>
    <t>Основні фінансові показники</t>
  </si>
  <si>
    <t>Капітальні інвестиції</t>
  </si>
  <si>
    <t>Найменування об’єкта</t>
  </si>
  <si>
    <t>директор</t>
  </si>
  <si>
    <t>працівники</t>
  </si>
  <si>
    <t>Найменування показника</t>
  </si>
  <si>
    <t>адміністративно-управлінський персонал</t>
  </si>
  <si>
    <t>Валовий прибуток/збиток</t>
  </si>
  <si>
    <t>(    )</t>
  </si>
  <si>
    <t>Інші доходи, усього, у тому числі:</t>
  </si>
  <si>
    <t>Витрати з податку на прибуток</t>
  </si>
  <si>
    <t>Дохід з податку на прибуток</t>
  </si>
  <si>
    <t>8000</t>
  </si>
  <si>
    <t>8001</t>
  </si>
  <si>
    <t>8002</t>
  </si>
  <si>
    <t>8003</t>
  </si>
  <si>
    <t>8010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</si>
  <si>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</si>
  <si>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</si>
  <si>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</si>
  <si>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податок на прибуток підприємств</t>
  </si>
  <si>
    <t>капітальний ремонт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</si>
  <si>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</si>
  <si>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</si>
  <si>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</si>
  <si>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інші податки, збори та платежі (розшифрувати)</t>
  </si>
  <si>
    <t>земельний податок</t>
  </si>
  <si>
    <t>орендна плата</t>
  </si>
  <si>
    <t>Чистий фінансовий результат</t>
  </si>
  <si>
    <t xml:space="preserve">Прибуток </t>
  </si>
  <si>
    <t>Збиток</t>
  </si>
  <si>
    <t>Середньомісячні витрати на оплату праці одного працівника (грн), усього, у тому числі:</t>
  </si>
  <si>
    <t>Інші витрати (розшифрувати)</t>
  </si>
  <si>
    <t>тис. грн (без ПДВ)</t>
  </si>
  <si>
    <t>{Додаток 1 в редакції Наказу Міністерства економічного розвитку і торгівлі № 1394 від 03.11.2015}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</si>
  <si>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</si>
  <si>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</si>
  <si>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нараховано виплат</t>
  </si>
  <si>
    <t>Матеріальні витрати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</si>
  <si>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</si>
  <si>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</si>
  <si>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</si>
  <si>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 xml:space="preserve"> (посада)</t>
  </si>
  <si>
    <t>військовий збір</t>
  </si>
  <si>
    <t>капітальне будівництво (розшифрувати)</t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</si>
  <si>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</si>
  <si>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</si>
  <si>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тис. грн</t>
  </si>
  <si>
    <t xml:space="preserve">                   (підпис)</t>
  </si>
  <si>
    <t>Собівартість реалізованої продукції (товарів, робіт, послуг), усього, у тому числі:</t>
  </si>
  <si>
    <t>Матеріальні витрати (розшифрувати)</t>
  </si>
  <si>
    <t>Інші адміністративні витрати (розшифрувати)</t>
  </si>
  <si>
    <t>Інші операційні витрати (розшифрувати)</t>
  </si>
  <si>
    <t>придбання (виготовлення) інших необоротних матеріальних активів (розшифрувати)</t>
  </si>
  <si>
    <t>Фонд оплату праці</t>
  </si>
  <si>
    <t>8030</t>
  </si>
  <si>
    <t>Чистий дохід від реалізації продукції (товарів, робіт, послуг), усього, у тому числі:</t>
  </si>
  <si>
    <t>ДОХОДИ</t>
  </si>
  <si>
    <t>№Зз/п</t>
  </si>
  <si>
    <t>Інші фінансові доходи, усього, у тому числі:</t>
  </si>
  <si>
    <t>ВИТРАТИ</t>
  </si>
  <si>
    <t>Собівартість реалізованої продукції (товарів, робіт, послуг),</t>
  </si>
  <si>
    <t>Матеріальні витрати, у сього, у т.ч.:</t>
  </si>
  <si>
    <t>Інші витрати, усього, у т.ч:</t>
  </si>
  <si>
    <t>Адміністративні витрати:</t>
  </si>
  <si>
    <t>Інші адміністративні витрати, усього, у т.ч.:</t>
  </si>
  <si>
    <t>ВСЬОГО ВИТРАТ:</t>
  </si>
  <si>
    <t>1.</t>
  </si>
  <si>
    <t>у т.ч. використано на:</t>
  </si>
  <si>
    <t>1.1</t>
  </si>
  <si>
    <t>1.2</t>
  </si>
  <si>
    <t>Адміністративні витрати, усього, у тому числі:</t>
  </si>
  <si>
    <t>Собівартість реалізованої продукції (товарів, робіт, послуг), усього, у т.ч.:</t>
  </si>
  <si>
    <t>1.3</t>
  </si>
  <si>
    <t>Адміністративні витрати, усього, у т.ч.:</t>
  </si>
  <si>
    <t>Інші операційні витрати, усього, у т.ч.:</t>
  </si>
  <si>
    <t>2.</t>
  </si>
  <si>
    <t>Придбання (виготовлення) основних засобів, усього, у т.ч.:</t>
  </si>
  <si>
    <t>Придбання (виготовлення) інших необоротних матеріальних активів, усього, у т.ч.:</t>
  </si>
  <si>
    <t>Інші витрати, усього, у т.ч.:</t>
  </si>
  <si>
    <t>Розділ І. Формування фінансових результатів</t>
  </si>
  <si>
    <t>Розділ IІ. Розрахунки з бюджетом</t>
  </si>
  <si>
    <t>Розділ IV. Капітальні інвестиції</t>
  </si>
  <si>
    <t>Розділ VI. Дані про персонал та витрати на оплату праці</t>
  </si>
  <si>
    <t>Розшифровка №1 до розділу І "Формування фінансових результатів"</t>
  </si>
  <si>
    <t>Розшифровка до розділу  IV. "Капітальні інвестиції"</t>
  </si>
  <si>
    <t>3.</t>
  </si>
  <si>
    <t>Матеріальні витрати, усього, у т.ч.:</t>
  </si>
  <si>
    <t>план</t>
  </si>
  <si>
    <t>факт</t>
  </si>
  <si>
    <t>відхилення, +/-</t>
  </si>
  <si>
    <t>виконання, 
%</t>
  </si>
  <si>
    <t>відхилення, +,-</t>
  </si>
  <si>
    <t>відхилення, %</t>
  </si>
  <si>
    <t>відхилення, 
%</t>
  </si>
  <si>
    <t>Відхилення, +,-</t>
  </si>
  <si>
    <t>Відхилення, %</t>
  </si>
  <si>
    <t>Усього доходів</t>
  </si>
  <si>
    <t>Усього видатків</t>
  </si>
  <si>
    <t>Розшифровка №2 до розділу І "Формування фінансових результатів за джерелами доходів та використання коштів"</t>
  </si>
  <si>
    <t>Кошти державного бюджету від Національної служби здоров'я України</t>
  </si>
  <si>
    <t>Інші операційні витрати:</t>
  </si>
  <si>
    <t>Факт наростаючим підсумком з початку року</t>
  </si>
  <si>
    <r>
      <t xml:space="preserve">Чистий дохід від реалізації продукції (товарів, робіт, послуг) </t>
    </r>
    <r>
      <rPr>
        <sz val="16"/>
        <color theme="1"/>
        <rFont val="Times New Roman"/>
        <family val="1"/>
        <charset val="204"/>
      </rPr>
      <t>(розшифрувати)</t>
    </r>
  </si>
  <si>
    <r>
      <t>Інші фінансові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</si>
  <si>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rPr>
        <b/>
        <sz val="16"/>
        <color theme="1"/>
        <rFont val="Times New Roman"/>
        <family val="1"/>
        <charset val="204"/>
      </rPr>
      <t>Фінансові витрати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</si>
  <si>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>Інші доходи</t>
    </r>
    <r>
      <rPr>
        <sz val="16"/>
        <color theme="1"/>
        <rFont val="Times New Roman"/>
        <family val="1"/>
        <charset val="204"/>
      </rPr>
      <t xml:space="preserve"> (розшифрувати)</t>
    </r>
  </si>
  <si>
    <r>
      <t xml:space="preserve">Інші витрати </t>
    </r>
    <r>
      <rPr>
        <sz val="16"/>
        <color theme="1"/>
        <rFont val="Times New Roman"/>
        <family val="1"/>
        <charset val="204"/>
      </rPr>
      <t>(розшифрувати)</t>
    </r>
  </si>
  <si>
    <r>
      <t>придбання (виготовлення) основних засобів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</si>
  <si>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color theme="1"/>
        <rFont val="Times New Roman"/>
        <family val="1"/>
        <charset val="204"/>
      </rPr>
      <t xml:space="preserve"> </t>
    </r>
  </si>
  <si>
    <r>
      <t xml:space="preserve">Середня кількість працівників </t>
    </r>
    <r>
      <rPr>
        <sz val="16"/>
        <color theme="1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color theme="1"/>
        <rFont val="Times New Roman"/>
        <family val="1"/>
        <charset val="204"/>
      </rPr>
      <t>, у тому числі:</t>
    </r>
  </si>
  <si>
    <t>х</t>
  </si>
  <si>
    <t>Елементи операційних витрат:</t>
  </si>
  <si>
    <t>Залучення кредитних коштів</t>
  </si>
  <si>
    <t>Власні кошти</t>
  </si>
  <si>
    <t>Усього:</t>
  </si>
  <si>
    <t xml:space="preserve">Нараховані до сплати податки та збори до Державного бюджету України (податкові платежі) </t>
  </si>
  <si>
    <t>1.1.1</t>
  </si>
  <si>
    <t xml:space="preserve">медикаменти та перев'язувальні матеріали </t>
  </si>
  <si>
    <t>харчування</t>
  </si>
  <si>
    <t>1.1.2</t>
  </si>
  <si>
    <t>1.1.3</t>
  </si>
  <si>
    <t>1.1.4</t>
  </si>
  <si>
    <t>1.1.5</t>
  </si>
  <si>
    <t>Інші витрати, усього, у тому числі:</t>
  </si>
  <si>
    <t>наркопрофогляд, медогляд</t>
  </si>
  <si>
    <t>гістологічні дослідження</t>
  </si>
  <si>
    <t>дослідження на ВІЛ</t>
  </si>
  <si>
    <t>бактеріологічні дослідження</t>
  </si>
  <si>
    <t xml:space="preserve">ремонт та технічне обслуговування медичного обладнання </t>
  </si>
  <si>
    <t>повірка медичного обладнання</t>
  </si>
  <si>
    <t>технічне обслуговування та ремонт ліфтів</t>
  </si>
  <si>
    <t>телекомунікаційні послуги</t>
  </si>
  <si>
    <t>1.2.2</t>
  </si>
  <si>
    <t>1.2.3</t>
  </si>
  <si>
    <t>1.2.5</t>
  </si>
  <si>
    <t>Інші адмінінстративні витрати, усього, у тому числі</t>
  </si>
  <si>
    <t xml:space="preserve">охоронна сигналізація </t>
  </si>
  <si>
    <t>1.3.2</t>
  </si>
  <si>
    <t>1.3.3</t>
  </si>
  <si>
    <t>господарські товари, техн. засоби, електрозберігаючі лампочки,  будівельні матеріали, засоби для прибирання та гігієни</t>
  </si>
  <si>
    <t>канцтовари, періодичні видання, бланки, журнали</t>
  </si>
  <si>
    <t>дозометричний контроль</t>
  </si>
  <si>
    <t xml:space="preserve">ремонт та технічне обслуговування немедичного обладнання </t>
  </si>
  <si>
    <t>ремонт та технічне обслуговування ПК та оргтехніки</t>
  </si>
  <si>
    <t>ремонт приміщень</t>
  </si>
  <si>
    <t>супровід програмного забезпечення, медіа-супровід, обслуговування сайту, КЕП</t>
  </si>
  <si>
    <t xml:space="preserve">поповнення смарт-карток для проїзду </t>
  </si>
  <si>
    <t>оплата теплопостачання</t>
  </si>
  <si>
    <t xml:space="preserve">оплата водопостачання та водовідведення </t>
  </si>
  <si>
    <t>оплата електроенергії</t>
  </si>
  <si>
    <t>вивіз сміття</t>
  </si>
  <si>
    <t>послуги з навчання</t>
  </si>
  <si>
    <t>Інші  адміністративні витрати, усього, у тому числі:</t>
  </si>
  <si>
    <t>паливно-мастильні матеріали</t>
  </si>
  <si>
    <t>ремонт та технічне обслуговування немедичного обладнання</t>
  </si>
  <si>
    <t>податок на додану вартість</t>
  </si>
  <si>
    <t>витратні матеріали для хворих, що знаходяться на лікуванні у відділенні анестезіології  2019-n CoV</t>
  </si>
  <si>
    <t>витратні матеріали для хворих на цукровий діабет</t>
  </si>
  <si>
    <t>медикаменти та перв'язувальні матеріали</t>
  </si>
  <si>
    <t>програма "СТОП ГРИП"</t>
  </si>
  <si>
    <t xml:space="preserve">оплата електроенергії </t>
  </si>
  <si>
    <t xml:space="preserve">вивіз  сміття </t>
  </si>
  <si>
    <t>9.</t>
  </si>
  <si>
    <t>Кошти орендарів (енергоносії)</t>
  </si>
  <si>
    <t>Надходження від відсотків за залишками коштів на депозитних рахунках</t>
  </si>
  <si>
    <t>ремонт та технічне обслуговування медичного обладнання</t>
  </si>
  <si>
    <t>банківські послуги</t>
  </si>
  <si>
    <t>Володимир ПРИСЯЖНЮК</t>
  </si>
  <si>
    <t>кошти державного бюджету від Національної служби здоров'я України</t>
  </si>
  <si>
    <r>
      <t xml:space="preserve">кошти орендарів </t>
    </r>
    <r>
      <rPr>
        <i/>
        <sz val="14"/>
        <rFont val="Times New Roman"/>
        <family val="1"/>
        <charset val="204"/>
      </rPr>
      <t>(енергоносії)</t>
    </r>
  </si>
  <si>
    <t>благодійна допомога в грошовому еквіваленті</t>
  </si>
  <si>
    <t>благодійна допомога в натуральній формі</t>
  </si>
  <si>
    <t>надходження від відсотків за залишками коштів на депозитних рахунках</t>
  </si>
  <si>
    <t>медикаменти та перев'язувальні матеріали</t>
  </si>
  <si>
    <t>господарські товари, технічні засоби, енергозберігаючі лампочки,  будівельні матеріали, засоби для прибирання та гігієни</t>
  </si>
  <si>
    <t>ремонт та технічне обслуговування ліфтів</t>
  </si>
  <si>
    <t xml:space="preserve">ремонт приміщень </t>
  </si>
  <si>
    <t>ПДВ</t>
  </si>
  <si>
    <t xml:space="preserve">пільгова пенсія </t>
  </si>
  <si>
    <t>Благодійна допомога в натуральній формі</t>
  </si>
  <si>
    <t xml:space="preserve">канцтовари, періодичні видання </t>
  </si>
  <si>
    <t>супровід програмного забезпечення, медіа-супровід, обслуговування сайту,кваліфікований електронний підпис</t>
  </si>
  <si>
    <t xml:space="preserve">Благодійна допомога в грошовому еквіваленті </t>
  </si>
  <si>
    <t xml:space="preserve">медикаменти та перевязувальні матеріали </t>
  </si>
  <si>
    <t>Нарахування амортизації на безоплатно отримані активи, усього, у т.ч.:</t>
  </si>
  <si>
    <t>нарахування амортизації на безоплатно отримані активи</t>
  </si>
  <si>
    <t xml:space="preserve"> </t>
  </si>
  <si>
    <t>Кошти бюджету ВМТГ</t>
  </si>
  <si>
    <t xml:space="preserve">ремонт та технічне обслуговування авто </t>
  </si>
  <si>
    <t xml:space="preserve">послуги з навчання </t>
  </si>
  <si>
    <t>публікація в газеті</t>
  </si>
  <si>
    <t xml:space="preserve">публікація в газеті </t>
  </si>
  <si>
    <t>Директор КНП "ВМКЛ"ЦМтаД"</t>
  </si>
  <si>
    <t>Кошти бюджету ВМТГ (залишки минулих періодів)</t>
  </si>
  <si>
    <t>Директор КНП"ВМКЛ"ЦМтаД"</t>
  </si>
  <si>
    <r>
      <t>Директор КНП "ВМКЛ"ЦМтаД"</t>
    </r>
    <r>
      <rPr>
        <u/>
        <sz val="16"/>
        <color theme="1"/>
        <rFont val="Times New Roman"/>
        <family val="1"/>
        <charset val="204"/>
      </rPr>
      <t xml:space="preserve"> </t>
    </r>
  </si>
  <si>
    <t>Розшифровка до розділу  IV "Капітальні інвестиції" за джерелами надходження</t>
  </si>
  <si>
    <t>кошти Вінницької міської  територіальної громади (ВМТГ)</t>
  </si>
  <si>
    <t>кошти Вінницької міської  територіальної громади (ВМТГ) (залиши минулих періодів)</t>
  </si>
  <si>
    <t xml:space="preserve">ДБЖ PowerWalker VFI 1000    </t>
  </si>
  <si>
    <t xml:space="preserve">Гініометр медичний </t>
  </si>
  <si>
    <t>Капітальний ремонт приміщень четвертого поверху пологового будинку міської лікарні «Центр матері та дитини» за адресою: Україна, м. Вінниця, вул. Синьоводська, 142</t>
  </si>
  <si>
    <t xml:space="preserve">адвокатські послуги </t>
  </si>
  <si>
    <t xml:space="preserve">Кошти від надання платних послуг </t>
  </si>
  <si>
    <t>3.1.</t>
  </si>
  <si>
    <t xml:space="preserve">паливно-мастильні матеріали </t>
  </si>
  <si>
    <t xml:space="preserve">оренда медичного обладнання </t>
  </si>
  <si>
    <t xml:space="preserve">ремонт приміщення </t>
  </si>
  <si>
    <t xml:space="preserve">банківські послуги </t>
  </si>
  <si>
    <t xml:space="preserve">дослідження води </t>
  </si>
  <si>
    <t>адміністративні послуги</t>
  </si>
  <si>
    <t xml:space="preserve">утилізація медичних відходів </t>
  </si>
  <si>
    <t>1.3.4.</t>
  </si>
  <si>
    <t xml:space="preserve">нарахування амортизації на безоплатно отримані активи </t>
  </si>
  <si>
    <t>9.1.</t>
  </si>
  <si>
    <t>9.1.1.</t>
  </si>
  <si>
    <t>9.1.2.</t>
  </si>
  <si>
    <t xml:space="preserve">кошти від надання платних послуг </t>
  </si>
  <si>
    <t xml:space="preserve">ремонт та технічне обслуговування медичного обладання </t>
  </si>
  <si>
    <t xml:space="preserve">Інші операційні витрати </t>
  </si>
  <si>
    <t>відрахування частини чистого прибутку комунальними підприємствами, що є власністю Вінницької міської об'єднаної територіальної громади до бюджету Вінницької міської ТГ</t>
  </si>
  <si>
    <t xml:space="preserve">куросурфи </t>
  </si>
  <si>
    <t>11.</t>
  </si>
  <si>
    <t xml:space="preserve">земельний податок </t>
  </si>
  <si>
    <t>1.2.1.</t>
  </si>
  <si>
    <t>зберігання архівної документації</t>
  </si>
  <si>
    <t>Дохід від оприбуткування вторсировини (металобрухт, медичних відходів)</t>
  </si>
  <si>
    <t>Інші операційні витрати, усього, у т.ч.</t>
  </si>
  <si>
    <t xml:space="preserve">металобрухт </t>
  </si>
  <si>
    <t xml:space="preserve">інформаційно-консультаційні послуги </t>
  </si>
  <si>
    <t xml:space="preserve">оцінка майна </t>
  </si>
  <si>
    <t>Інші джерела (НСЗУ, гуманітарна допомога,централізовані поставки)</t>
  </si>
  <si>
    <t xml:space="preserve">Капітальний ремонт </t>
  </si>
  <si>
    <t>дератизація та дезинфекція</t>
  </si>
  <si>
    <t>витрати на відрядження</t>
  </si>
  <si>
    <t>пільгова пенсія</t>
  </si>
  <si>
    <t xml:space="preserve">оплата природного газу </t>
  </si>
  <si>
    <t xml:space="preserve">оплата прирордного газу </t>
  </si>
  <si>
    <t xml:space="preserve">витрати на відрядження </t>
  </si>
  <si>
    <t xml:space="preserve">інструментальні дослідження </t>
  </si>
  <si>
    <t>Апарат ШВЛ Savina 300</t>
  </si>
  <si>
    <t xml:space="preserve">Мікрохвильова піч ERGO EM-2075     </t>
  </si>
  <si>
    <t>Сфігмоманометр, Babyphon, 1 трубка, з 3 манжетами 5/7/10 см</t>
  </si>
  <si>
    <t xml:space="preserve">Стетоскоп неонатальний (двоголовий нагрудник) </t>
  </si>
  <si>
    <t xml:space="preserve">Стетоскоп дитячий (двоголовий нагрудник)  </t>
  </si>
  <si>
    <t xml:space="preserve">Полиця            </t>
  </si>
  <si>
    <t xml:space="preserve">Регулятор швидкості потока кисню (Флоуметр-DIN)  </t>
  </si>
  <si>
    <t>Регулятор швидкості потока кисню (Флоуметр-DIN)</t>
  </si>
  <si>
    <t xml:space="preserve">Комод на 4 шухляди "CAT" 940х450х390 мм, сірий </t>
  </si>
  <si>
    <t>Ваги підлогові електронні SCARLETT SC-BS33E077 йога коти</t>
  </si>
  <si>
    <t xml:space="preserve">Диспенсер для дезінфекції рук (ручний, ліктєвий) 1л </t>
  </si>
  <si>
    <t xml:space="preserve">Дозатор ліктьовий 1л, 9,4*10*25 см, хром </t>
  </si>
  <si>
    <t>Роздавальник складн. паперов. рушників білий V-620</t>
  </si>
  <si>
    <t xml:space="preserve">ДБЖ PowerWalker VFI 1000 </t>
  </si>
  <si>
    <t xml:space="preserve">Киснева розетка стандартна DIN     </t>
  </si>
  <si>
    <t xml:space="preserve">Подушка стьобана екопух 60х60 з чохлом  </t>
  </si>
  <si>
    <t xml:space="preserve">Стіл комп'ютерний </t>
  </si>
  <si>
    <t xml:space="preserve">Ролети Льон 0875 (молочні)   </t>
  </si>
  <si>
    <t xml:space="preserve">Ролети 12 ВН-1203 (день-ніч)  </t>
  </si>
  <si>
    <t xml:space="preserve">Ролети Лазур 2070 (рожеві) </t>
  </si>
  <si>
    <t>Автоматичний перемикач (блок ATS)</t>
  </si>
  <si>
    <t xml:space="preserve">Стетоскоп  </t>
  </si>
  <si>
    <t xml:space="preserve">обслуговування ліфтів </t>
  </si>
  <si>
    <t>лабораторні дослідження</t>
  </si>
  <si>
    <t xml:space="preserve">оцінка енергоефективності </t>
  </si>
  <si>
    <t>інструментальні дослідження</t>
  </si>
  <si>
    <t>3.1.1.</t>
  </si>
  <si>
    <t>5.1.</t>
  </si>
  <si>
    <t>5.</t>
  </si>
  <si>
    <t>5.1.1</t>
  </si>
  <si>
    <t>6.</t>
  </si>
  <si>
    <t>6.1.</t>
  </si>
  <si>
    <t>6.1.1.</t>
  </si>
  <si>
    <t>7.</t>
  </si>
  <si>
    <t>7.1.</t>
  </si>
  <si>
    <t>7.1.1.</t>
  </si>
  <si>
    <t>7.2.</t>
  </si>
  <si>
    <t>7.2.1.</t>
  </si>
  <si>
    <t>8.</t>
  </si>
  <si>
    <t>8.2.</t>
  </si>
  <si>
    <t>8.2.1.</t>
  </si>
  <si>
    <t>11.1.1.</t>
  </si>
  <si>
    <t>11.2.</t>
  </si>
  <si>
    <t xml:space="preserve">  </t>
  </si>
  <si>
    <t>дохід від оприбуткування вторсировини (металобрухт, медичних відходів)</t>
  </si>
  <si>
    <t>Звітний за ІІ квартал 2024 рік</t>
  </si>
  <si>
    <t>за ІІ квартал 2023 року</t>
  </si>
  <si>
    <t>за ІІ квартал 2024 року</t>
  </si>
  <si>
    <t>Факт                   за півріччя 2023рік</t>
  </si>
  <si>
    <t>План 
за півріччя 2024 рік</t>
  </si>
  <si>
    <t>Факт 
за півріччя 2024 рік</t>
  </si>
  <si>
    <t>Факт                   за півріччя 2023 рік</t>
  </si>
  <si>
    <t>за півріччя 2023 рік</t>
  </si>
  <si>
    <t>за півріччя 2024 рік</t>
  </si>
  <si>
    <t>Звітний за півріччя 2024 рік</t>
  </si>
  <si>
    <t>План 
за півріччя  2024 рік</t>
  </si>
  <si>
    <t>план за півріччя
2024 року</t>
  </si>
  <si>
    <t>факт 
за півріччя 2024 року</t>
  </si>
  <si>
    <t>Капітальний ремонт укриття будівлі пологового будинку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</si>
  <si>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санітарно-гігєнічне дослідження факторів виробничого середовища</t>
  </si>
  <si>
    <t>страхування цивільної відповідальності власників транспортних засобів</t>
  </si>
  <si>
    <t xml:space="preserve">повірка медичного обладнання </t>
  </si>
  <si>
    <t>медикаменти 2019-n CoV, предмети матеріали обладнання (в т.ч. медичного) та інвентарю</t>
  </si>
  <si>
    <t xml:space="preserve">страхування цивільно-праової відповідальності власників транспортних засобів </t>
  </si>
  <si>
    <t>санітарно-гігієнічне дослідження факторів виробничого середовища</t>
  </si>
  <si>
    <t xml:space="preserve">Транспортна каталка Stryker   </t>
  </si>
  <si>
    <t xml:space="preserve">Отоскоп / Офтальмоскоп Welch Allun  </t>
  </si>
  <si>
    <t xml:space="preserve">Генератор Kraftwele SDG18000S-A з вмонтованим контролером AVR </t>
  </si>
  <si>
    <t xml:space="preserve">Система редукування тиску кисню        </t>
  </si>
  <si>
    <t xml:space="preserve">GE Аналізатор електролітів K+, Na+, Cl-, Ca2+, pH, Ref      </t>
  </si>
  <si>
    <t xml:space="preserve">Інкубатор GE Incubator Giraffe Omnibed                                  </t>
  </si>
  <si>
    <t xml:space="preserve">neoBLUE cozy LED Phototherapy   </t>
  </si>
  <si>
    <t xml:space="preserve">Монітор пацієнта портативний з доступом (12 шт)    </t>
  </si>
  <si>
    <t>Інкубатор GE Incubator Giraffe Omnibed</t>
  </si>
  <si>
    <t xml:space="preserve">Апарат ШВЛ для новонароджених та дітей DRAGER Babylog VN500 з комплектуючими                                   </t>
  </si>
  <si>
    <t xml:space="preserve">активна </t>
  </si>
  <si>
    <t xml:space="preserve">Стерилізатор паровий, 39 л (2 шт)                        </t>
  </si>
  <si>
    <t xml:space="preserve">Набір отоскопів у футлярі  </t>
  </si>
  <si>
    <t>Набір Embrace Nest Infant Warmer (starter pack, baby trap and warm pack) (конверт з підігрівом) (3 шт)</t>
  </si>
  <si>
    <t>Крісло-реклайнер із шкірозамінника Jeff чорне (2 шт)</t>
  </si>
  <si>
    <t>Інфузійний насос з аксесуарами   (3 шт)</t>
  </si>
  <si>
    <t xml:space="preserve">Отоскоп, набір (3 шт)                 </t>
  </si>
  <si>
    <t>Пульсоксиметр портативний постійний з частотою дихання (2 шт)</t>
  </si>
  <si>
    <t xml:space="preserve">Шприцевий насос з аксесуарами (2 шт)   </t>
  </si>
  <si>
    <t xml:space="preserve">Ваги мати/дитина, 150 кг, на батарейці (3 шт)          </t>
  </si>
  <si>
    <t xml:space="preserve">Сфігроманометр   (13 шт)              </t>
  </si>
  <si>
    <t xml:space="preserve">Отоскоп, набір  (2 шт)    </t>
  </si>
  <si>
    <t xml:space="preserve">Стетоскоп   (8 шт) </t>
  </si>
  <si>
    <t>Стерилізатор паровий, 24 л   (3 шт)</t>
  </si>
  <si>
    <t xml:space="preserve">Стетоскоп, бінауральний, повний (3 шт)     </t>
  </si>
  <si>
    <t>Інкубатор для немовлят Embrace Nest Infant Warmer   (6 шт)</t>
  </si>
  <si>
    <t>Оглядове гінекологічне крісло б/в    (2 шт)</t>
  </si>
  <si>
    <t xml:space="preserve">Лічильник х/в Ду 25(мактохолод)   </t>
  </si>
  <si>
    <t xml:space="preserve">Баня лабораторна водяна ВБ-4            </t>
  </si>
  <si>
    <t xml:space="preserve">Возик для прибирання б/у                                                                                                                                                                                </t>
  </si>
  <si>
    <t xml:space="preserve">Реабілітаційне ліжко б/у    </t>
  </si>
  <si>
    <t xml:space="preserve">Тумба приліжкова  </t>
  </si>
  <si>
    <t xml:space="preserve">Масажний столик складний                                             </t>
  </si>
  <si>
    <t xml:space="preserve">Блок живлення  </t>
  </si>
  <si>
    <t>Датчик температури дихальних шляхів Fisher &amp; Paykel</t>
  </si>
  <si>
    <t>Конектор центральної системи кисню</t>
  </si>
  <si>
    <t xml:space="preserve">Електрочайник Gallet BOU701R           </t>
  </si>
  <si>
    <t xml:space="preserve">Праска Philips 5000 Series DST5040/80            </t>
  </si>
  <si>
    <t xml:space="preserve">Дошка для прасування Eurogold 120*38см   </t>
  </si>
  <si>
    <t xml:space="preserve">Матрац б/у           </t>
  </si>
  <si>
    <t>Диспенсер для рушників</t>
  </si>
  <si>
    <t>Каталка для миття лежачих</t>
  </si>
  <si>
    <t xml:space="preserve">Крісло для збору крові   </t>
  </si>
  <si>
    <t>Акумуляторний налобний ліхтарик Ledlenser H8R для хірург.операцій у разі відключення електрики</t>
  </si>
  <si>
    <t xml:space="preserve">Перетворювач 220-110V 450W    </t>
  </si>
  <si>
    <t xml:space="preserve">Камера для зволожувача   </t>
  </si>
  <si>
    <t xml:space="preserve">Матраци медичні б/у             </t>
  </si>
  <si>
    <t xml:space="preserve">Простирадла б/в      </t>
  </si>
  <si>
    <t xml:space="preserve">Взуття медичне   </t>
  </si>
  <si>
    <t xml:space="preserve">Пеленки байкові б/у      </t>
  </si>
  <si>
    <t xml:space="preserve">Стульчаки медичні б/в         </t>
  </si>
  <si>
    <t xml:space="preserve">Кушетки медичні б/в     </t>
  </si>
  <si>
    <t xml:space="preserve">Підіймач для інвалідів б/в               </t>
  </si>
  <si>
    <t xml:space="preserve">Столи письмові б/у                       </t>
  </si>
  <si>
    <t xml:space="preserve">Стілець офісний б/у </t>
  </si>
  <si>
    <t xml:space="preserve">Столи медичні б/в           </t>
  </si>
  <si>
    <t xml:space="preserve">Диван 2-х місний     </t>
  </si>
  <si>
    <t xml:space="preserve">Кушетка медична б/в    </t>
  </si>
  <si>
    <t xml:space="preserve">Точка доступа Ubsgusts UnsFs AC LR (вай фай)   </t>
  </si>
  <si>
    <t xml:space="preserve">Камера Стерил.бокс"Стандарт"        </t>
  </si>
  <si>
    <t xml:space="preserve">Стіл інструментальний СІ-5               </t>
  </si>
  <si>
    <t xml:space="preserve">Тонометр внутр.тиску по Маклакову        </t>
  </si>
  <si>
    <t xml:space="preserve">Машина сушильна           </t>
  </si>
  <si>
    <t xml:space="preserve">Ультразвукові ножиці багаторазові HD-RC-D03         </t>
  </si>
  <si>
    <t xml:space="preserve">Дитяче лікарняне ліжко Buddy L-T    </t>
  </si>
  <si>
    <t xml:space="preserve">Ліжко для новонароджених NP-50 </t>
  </si>
  <si>
    <t xml:space="preserve">Електрод петля(до набору гістерорезектоскопу)  </t>
  </si>
  <si>
    <t xml:space="preserve">Обтуратор оптичний(набір до гістерорезектоскопу)    </t>
  </si>
  <si>
    <t xml:space="preserve">Кабель високочастотний(набір до гістерорезектоскопу) </t>
  </si>
  <si>
    <t xml:space="preserve">Пральна машина вузька INDESIT OMTWSE 61051 WK EU   </t>
  </si>
  <si>
    <t xml:space="preserve">Ширма розділювач з лого 5-ти секційна          </t>
  </si>
  <si>
    <t xml:space="preserve">Мережеве сховище SYNOLOGY NAS DS+Series 8 TB HDD    </t>
  </si>
  <si>
    <t xml:space="preserve">Кольпоскоп МК-200 з відеосистемою (230232)           </t>
  </si>
  <si>
    <t>Кольпоскоп МК-200 з відеосистемою та варіоб"єктивом f=200-400мм(230231</t>
  </si>
  <si>
    <t xml:space="preserve">Інструмент для фототерапії </t>
  </si>
  <si>
    <t xml:space="preserve">Зволожувач  </t>
  </si>
  <si>
    <t>Холодильник для вакцин</t>
  </si>
  <si>
    <t>Інкубатор для перевезення немовлят (комплект кисневих балонів, змін акумулят.та дроти, АШВЛ, візок,носилки)</t>
  </si>
  <si>
    <t>Генератор FLMFRAA 300 OTO/ KB/JN 240kW/300kVA/50 Hz/Engine:FORD/9G30/Diesel,Voitage 400/231 V,650 I fuel tank з набором для інсталяції</t>
  </si>
  <si>
    <t xml:space="preserve">Електрокоагулятор високочастотний зварювальний МАРК АІ в комплекті </t>
  </si>
  <si>
    <t xml:space="preserve">Тестер бактерицидних ламп УФ-радіометр,ТЕНЗОР-71Б(з калібруванням)   </t>
  </si>
  <si>
    <t xml:space="preserve">Лапароскоп  </t>
  </si>
  <si>
    <t xml:space="preserve">Мікроскоп серії BioBlue              </t>
  </si>
  <si>
    <t xml:space="preserve">Мікроскоп серії BioBlue BB/4260    </t>
  </si>
  <si>
    <t xml:space="preserve">Апврат штучної вентиляції легень Savina 300     </t>
  </si>
  <si>
    <t xml:space="preserve">Ножиці лапароскопічні, 5*330мм, вигнуті, з двома рухомими браншами  </t>
  </si>
  <si>
    <t xml:space="preserve">Датчик конвексний RAB2-5-D           </t>
  </si>
  <si>
    <t xml:space="preserve">Ендоскоп(до набору гістерорезектоскопу)       </t>
  </si>
  <si>
    <t xml:space="preserve">Робочий елемент,пасивний(до набору гістерорезектоскопу)   </t>
  </si>
  <si>
    <t xml:space="preserve">Мікрохвильова піч Edler ED-2068C   </t>
  </si>
  <si>
    <t xml:space="preserve">Стілець б/у(27 шт)               </t>
  </si>
  <si>
    <t>Реконструкція мереж електропостачання будівлі стаціонару (літера Л) та будівлі пологового будинку (літера В) з влаштуванням дизель-генератора для забезпечення резервного живлення в 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</si>
  <si>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Капітальний ремонт Монтаж та налагодження системи пожежної сигналізації, кнрування евакуюванням (в частині мовленнєвого оповіщення про пожежу), централізованого пожежного спостерігання на обєкті: Будівля пологового будинку ( літ.В) (1-3 поверх)  Комунального некомерційного підприємства Вінницька міська клінічна лікарня «Центр матері та дитини» за адресою: Україна, м. Вінниця, вул. Синьоводська, 142</t>
  </si>
  <si>
    <t>Кольпоскоп МК-200 з відеосистемою та варіоб"єктивом f=200-400мм(230231)</t>
  </si>
  <si>
    <t xml:space="preserve">Тубус зовнішній(до набору гістерорезектоскопу) 2 шт        </t>
  </si>
  <si>
    <t xml:space="preserve">Обтуратор зовнішній,з рухомою робочою частиною(набір до гістерорезектоскоп) 2 шт  </t>
  </si>
  <si>
    <t>Бюджетне фінансування (міський бюджет, державний бюджет)</t>
  </si>
  <si>
    <t>страхування майна</t>
  </si>
  <si>
    <t>проведення наглядового аудиту сертифікації управління якістю</t>
  </si>
  <si>
    <t xml:space="preserve">страхування майна </t>
  </si>
  <si>
    <t xml:space="preserve">вивезення сміття </t>
  </si>
  <si>
    <t xml:space="preserve">експертний висновок </t>
  </si>
  <si>
    <t>оцінка енергоефективності</t>
  </si>
  <si>
    <t xml:space="preserve">профвнески </t>
  </si>
  <si>
    <t>2.1.</t>
  </si>
  <si>
    <t>2.1.1.</t>
  </si>
  <si>
    <t>2.1.2.</t>
  </si>
  <si>
    <t>2.1.3.</t>
  </si>
  <si>
    <t>2.1.4.</t>
  </si>
  <si>
    <t>2.1.5.</t>
  </si>
  <si>
    <t>2.2.</t>
  </si>
  <si>
    <t>2.2.1</t>
  </si>
  <si>
    <t>2.2.2</t>
  </si>
  <si>
    <t>2.3.</t>
  </si>
  <si>
    <t>2.3.1</t>
  </si>
  <si>
    <t>Кошти від надання платних послуг (запаси минулих періодів)</t>
  </si>
  <si>
    <t>4.</t>
  </si>
  <si>
    <t>4.1.</t>
  </si>
  <si>
    <t>4.1.1.</t>
  </si>
  <si>
    <t>4.1.2.</t>
  </si>
  <si>
    <t>4.2.</t>
  </si>
  <si>
    <t>4.2.1</t>
  </si>
  <si>
    <t>10.</t>
  </si>
  <si>
    <t>10.1.</t>
  </si>
  <si>
    <t>10.1.1</t>
  </si>
  <si>
    <t>10.1.2.</t>
  </si>
  <si>
    <t>10.1.3.</t>
  </si>
  <si>
    <t>10.2</t>
  </si>
  <si>
    <t>10.2.1.</t>
  </si>
  <si>
    <t>10.2.2</t>
  </si>
  <si>
    <t>10.3.</t>
  </si>
  <si>
    <t>10.3.1.</t>
  </si>
  <si>
    <t>11.1.</t>
  </si>
  <si>
    <t>11.2.1</t>
  </si>
  <si>
    <t xml:space="preserve">ЗВІТ
 про виконання показників фінансового плану Комунального некомерційного підприємства                                                                                                                                                                                                                                                                                                                                                     "Вінницька міська клінічна лікарня "Центр матері та дитини"
за І півріччя 2024 року </t>
  </si>
  <si>
    <t xml:space="preserve">Апарат штучної вентиляції легень Savina 300     </t>
  </si>
  <si>
    <t>Реконструкція частини покрівлі будівлі літ. Л з влаштуванням сонячної електростанції КНП "ВМКЛ "ЦМтаД" по вул.Синьоводській, 142 (заходи з енергозбереження)</t>
  </si>
  <si>
    <t>Модернізація, модифікація (добудова, дообладнання, реконструкція) основних засобів (розшифрувати)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</si>
</sst>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_₴_-;\-* #,##0.00_₴_-;_-* &quot;-&quot;??_₴_-;_-@_-"/>
    <numFmt numFmtId="168" formatCode="_-* #,##0.00\ _г_р_н_._-;\-* #,##0.00\ _г_р_н_._-;_-* &quot;-&quot;??\ _г_р_н_._-;_-@_-"/>
    <numFmt numFmtId="169" formatCode="0.0"/>
    <numFmt numFmtId="170" formatCode="#,##0.0"/>
    <numFmt numFmtId="171" formatCode="###\ ##0.000"/>
    <numFmt numFmtId="172" formatCode="_(&quot;$&quot;* #,##0.00_);_(&quot;$&quot;* \(#,##0.00\);_(&quot;$&quot;* &quot;-&quot;??_);_(@_)"/>
    <numFmt numFmtId="173" formatCode="_(* #,##0_);_(* \(#,##0\);_(* &quot;-&quot;_);_(@_)"/>
    <numFmt numFmtId="174" formatCode="_(* #,##0.00_);_(* \(#,##0.00\);_(* &quot;-&quot;??_);_(@_)"/>
    <numFmt numFmtId="175" formatCode="#,##0.0_ ;[Red]\-#,##0.0\ "/>
    <numFmt numFmtId="176" formatCode="0.0;\(0.0\);\ ;\-"/>
    <numFmt numFmtId="177" formatCode="_(* #,##0_);_(* \(#,##0\);_(* &quot;-&quot;??_);_(@_)"/>
    <numFmt numFmtId="178" formatCode="_(* #,##0.0_);_(* \(#,##0.0\);_(* &quot;-&quot;_);_(@_)"/>
    <numFmt numFmtId="179" formatCode="_-* #,##0.0\ _₴_-;\-* #,##0.0\ _₴_-;_-* &quot;-&quot;?\ _₴_-;_-@_-"/>
    <numFmt numFmtId="180" formatCode="_-* #,##0.0_р_._-;\-* #,##0.0_р_._-;_-* &quot;-&quot;?_р_._-;_-@_-"/>
  </numFmts>
  <fonts count="90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8"/>
      <name val="Arial"/>
      <family val="2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  <scheme val="minor"/>
    </font>
    <font>
      <sz val="16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i/>
      <sz val="16"/>
      <color theme="1"/>
      <name val="Times New Roman"/>
      <family val="1"/>
      <charset val="204"/>
    </font>
    <font>
      <b/>
      <u/>
      <sz val="16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u/>
      <sz val="16"/>
      <color theme="1"/>
      <name val="Times New Roman"/>
      <family val="1"/>
      <charset val="204"/>
    </font>
    <font>
      <u/>
      <sz val="16"/>
      <color theme="1"/>
      <name val="Arial Cyr"/>
      <charset val="204"/>
    </font>
    <font>
      <b/>
      <i/>
      <sz val="16"/>
      <color theme="1"/>
      <name val="Times New Roman"/>
      <family val="1"/>
      <charset val="204"/>
    </font>
    <font>
      <sz val="16"/>
      <color theme="1"/>
      <name val="Arial Cyr"/>
      <charset val="204"/>
    </font>
    <font>
      <b/>
      <i/>
      <sz val="14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b/>
      <sz val="14"/>
      <color theme="0"/>
      <name val="Times New Roman"/>
      <family val="1"/>
      <charset val="204"/>
    </font>
    <font>
      <sz val="16"/>
      <color theme="0"/>
      <name val="Times New Roman"/>
      <family val="1"/>
      <charset val="204"/>
    </font>
    <font>
      <b/>
      <sz val="16"/>
      <color theme="0"/>
      <name val="Times New Roman"/>
      <family val="1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i/>
      <sz val="14"/>
      <color theme="0"/>
      <name val="Times New Roman"/>
      <family val="1"/>
      <charset val="204"/>
    </font>
    <font>
      <b/>
      <sz val="14"/>
      <color rgb="FFFF0000"/>
      <name val="Times New Roman"/>
      <family val="1"/>
      <charset val="204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1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55">
    <xf numFmtId="0" fontId="0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5" fillId="2" borderId="0" applyNumberFormat="0" applyBorder="0" applyAlignment="0" applyProtection="0"/>
    <xf numFmtId="0" fontId="2" fillId="2" borderId="0" applyNumberFormat="0" applyBorder="0" applyAlignment="0" applyProtection="0"/>
    <xf numFmtId="0" fontId="25" fillId="3" borderId="0" applyNumberFormat="0" applyBorder="0" applyAlignment="0" applyProtection="0"/>
    <xf numFmtId="0" fontId="2" fillId="3" borderId="0" applyNumberFormat="0" applyBorder="0" applyAlignment="0" applyProtection="0"/>
    <xf numFmtId="0" fontId="25" fillId="4" borderId="0" applyNumberFormat="0" applyBorder="0" applyAlignment="0" applyProtection="0"/>
    <xf numFmtId="0" fontId="2" fillId="4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6" borderId="0" applyNumberFormat="0" applyBorder="0" applyAlignment="0" applyProtection="0"/>
    <xf numFmtId="0" fontId="2" fillId="6" borderId="0" applyNumberFormat="0" applyBorder="0" applyAlignment="0" applyProtection="0"/>
    <xf numFmtId="0" fontId="2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9" borderId="0" applyNumberFormat="0" applyBorder="0" applyAlignment="0" applyProtection="0"/>
    <xf numFmtId="0" fontId="2" fillId="9" borderId="0" applyNumberFormat="0" applyBorder="0" applyAlignment="0" applyProtection="0"/>
    <xf numFmtId="0" fontId="25" fillId="10" borderId="0" applyNumberFormat="0" applyBorder="0" applyAlignment="0" applyProtection="0"/>
    <xf numFmtId="0" fontId="2" fillId="10" borderId="0" applyNumberFormat="0" applyBorder="0" applyAlignment="0" applyProtection="0"/>
    <xf numFmtId="0" fontId="25" fillId="5" borderId="0" applyNumberFormat="0" applyBorder="0" applyAlignment="0" applyProtection="0"/>
    <xf numFmtId="0" fontId="2" fillId="5" borderId="0" applyNumberFormat="0" applyBorder="0" applyAlignment="0" applyProtection="0"/>
    <xf numFmtId="0" fontId="25" fillId="8" borderId="0" applyNumberFormat="0" applyBorder="0" applyAlignment="0" applyProtection="0"/>
    <xf numFmtId="0" fontId="2" fillId="8" borderId="0" applyNumberFormat="0" applyBorder="0" applyAlignment="0" applyProtection="0"/>
    <xf numFmtId="0" fontId="25" fillId="11" borderId="0" applyNumberFormat="0" applyBorder="0" applyAlignment="0" applyProtection="0"/>
    <xf numFmtId="0" fontId="2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26" fillId="12" borderId="0" applyNumberFormat="0" applyBorder="0" applyAlignment="0" applyProtection="0"/>
    <xf numFmtId="0" fontId="8" fillId="12" borderId="0" applyNumberFormat="0" applyBorder="0" applyAlignment="0" applyProtection="0"/>
    <xf numFmtId="0" fontId="26" fillId="9" borderId="0" applyNumberFormat="0" applyBorder="0" applyAlignment="0" applyProtection="0"/>
    <xf numFmtId="0" fontId="8" fillId="9" borderId="0" applyNumberFormat="0" applyBorder="0" applyAlignment="0" applyProtection="0"/>
    <xf numFmtId="0" fontId="26" fillId="10" borderId="0" applyNumberFormat="0" applyBorder="0" applyAlignment="0" applyProtection="0"/>
    <xf numFmtId="0" fontId="8" fillId="10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9" borderId="0" applyNumberFormat="0" applyBorder="0" applyAlignment="0" applyProtection="0"/>
    <xf numFmtId="0" fontId="19" fillId="3" borderId="0" applyNumberFormat="0" applyBorder="0" applyAlignment="0" applyProtection="0"/>
    <xf numFmtId="0" fontId="11" fillId="20" borderId="1" applyNumberFormat="0" applyAlignment="0" applyProtection="0"/>
    <xf numFmtId="0" fontId="16" fillId="21" borderId="2" applyNumberFormat="0" applyAlignment="0" applyProtection="0"/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49" fontId="27" fillId="0" borderId="3">
      <alignment horizontal="center" vertical="center"/>
      <protection locked="0"/>
    </xf>
    <xf numFmtId="168" fontId="6" fillId="0" borderId="0" applyFont="0" applyFill="0" applyBorder="0" applyAlignment="0" applyProtection="0"/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49" fontId="6" fillId="0" borderId="3">
      <alignment horizontal="left" vertical="center"/>
      <protection locked="0"/>
    </xf>
    <xf numFmtId="0" fontId="20" fillId="0" borderId="0" applyNumberFormat="0" applyFill="0" applyBorder="0" applyAlignment="0" applyProtection="0"/>
    <xf numFmtId="171" fontId="28" fillId="0" borderId="0" applyAlignment="0">
      <alignment wrapText="1"/>
    </xf>
    <xf numFmtId="0" fontId="23" fillId="4" borderId="0" applyNumberFormat="0" applyBorder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4" fillId="0" borderId="6" applyNumberFormat="0" applyFill="0" applyAlignment="0" applyProtection="0"/>
    <xf numFmtId="0" fontId="14" fillId="0" borderId="0" applyNumberFormat="0" applyFill="0" applyBorder="0" applyAlignment="0" applyProtection="0"/>
    <xf numFmtId="0" fontId="29" fillId="0" borderId="0" applyNumberFormat="0" applyFill="0" applyBorder="0" applyAlignment="0" applyProtection="0">
      <alignment vertical="top"/>
      <protection locked="0"/>
    </xf>
    <xf numFmtId="0" fontId="9" fillId="7" borderId="1" applyNumberFormat="0" applyAlignment="0" applyProtection="0"/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6" fillId="0" borderId="0" applyNumberFormat="0" applyFont="0" applyAlignment="0">
      <alignment vertical="top" wrapText="1"/>
      <protection locked="0"/>
    </xf>
    <xf numFmtId="49" fontId="30" fillId="22" borderId="7">
      <alignment horizontal="left" vertical="center"/>
      <protection locked="0"/>
    </xf>
    <xf numFmtId="49" fontId="30" fillId="22" borderId="7">
      <alignment horizontal="left" vertical="center"/>
    </xf>
    <xf numFmtId="4" fontId="30" fillId="22" borderId="7">
      <alignment horizontal="right" vertical="center"/>
      <protection locked="0"/>
    </xf>
    <xf numFmtId="4" fontId="30" fillId="22" borderId="7">
      <alignment horizontal="right" vertical="center"/>
    </xf>
    <xf numFmtId="4" fontId="31" fillId="22" borderId="7">
      <alignment horizontal="righ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9" fontId="33" fillId="22" borderId="3">
      <alignment horizontal="left" vertical="center"/>
      <protection locked="0"/>
    </xf>
    <xf numFmtId="49" fontId="33" fillId="22" borderId="3">
      <alignment horizontal="left" vertical="center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</xf>
    <xf numFmtId="4" fontId="34" fillId="22" borderId="3">
      <alignment horizontal="righ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  <protection locked="0"/>
    </xf>
    <xf numFmtId="49" fontId="27" fillId="22" borderId="3">
      <alignment horizontal="left" vertical="center"/>
    </xf>
    <xf numFmtId="49" fontId="27" fillId="22" borderId="3">
      <alignment horizontal="left" vertical="center"/>
    </xf>
    <xf numFmtId="49" fontId="31" fillId="22" borderId="3">
      <alignment horizontal="left" vertical="center"/>
      <protection locked="0"/>
    </xf>
    <xf numFmtId="49" fontId="31" fillId="22" borderId="3">
      <alignment horizontal="left" vertical="center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  <protection locked="0"/>
    </xf>
    <xf numFmtId="4" fontId="27" fillId="22" borderId="3">
      <alignment horizontal="right" vertical="center"/>
    </xf>
    <xf numFmtId="4" fontId="27" fillId="22" borderId="3">
      <alignment horizontal="right" vertical="center"/>
    </xf>
    <xf numFmtId="4" fontId="31" fillId="22" borderId="3">
      <alignment horizontal="right" vertical="center"/>
      <protection locked="0"/>
    </xf>
    <xf numFmtId="49" fontId="35" fillId="22" borderId="3">
      <alignment horizontal="left" vertical="center"/>
      <protection locked="0"/>
    </xf>
    <xf numFmtId="49" fontId="35" fillId="22" borderId="3">
      <alignment horizontal="left" vertical="center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" fontId="35" fillId="22" borderId="3">
      <alignment horizontal="right" vertical="center"/>
      <protection locked="0"/>
    </xf>
    <xf numFmtId="4" fontId="35" fillId="22" borderId="3">
      <alignment horizontal="right" vertical="center"/>
    </xf>
    <xf numFmtId="4" fontId="37" fillId="22" borderId="3">
      <alignment horizontal="right" vertical="center"/>
      <protection locked="0"/>
    </xf>
    <xf numFmtId="49" fontId="38" fillId="0" borderId="3">
      <alignment horizontal="left" vertical="center"/>
      <protection locked="0"/>
    </xf>
    <xf numFmtId="49" fontId="38" fillId="0" borderId="3">
      <alignment horizontal="left" vertical="center"/>
    </xf>
    <xf numFmtId="49" fontId="39" fillId="0" borderId="3">
      <alignment horizontal="left" vertical="center"/>
      <protection locked="0"/>
    </xf>
    <xf numFmtId="49" fontId="39" fillId="0" borderId="3">
      <alignment horizontal="left" vertical="center"/>
    </xf>
    <xf numFmtId="4" fontId="38" fillId="0" borderId="3">
      <alignment horizontal="right" vertical="center"/>
      <protection locked="0"/>
    </xf>
    <xf numFmtId="4" fontId="38" fillId="0" borderId="3">
      <alignment horizontal="right" vertical="center"/>
    </xf>
    <xf numFmtId="4" fontId="39" fillId="0" borderId="3">
      <alignment horizontal="right" vertical="center"/>
      <protection locked="0"/>
    </xf>
    <xf numFmtId="49" fontId="40" fillId="0" borderId="3">
      <alignment horizontal="left" vertical="center"/>
      <protection locked="0"/>
    </xf>
    <xf numFmtId="49" fontId="40" fillId="0" borderId="3">
      <alignment horizontal="left" vertical="center"/>
    </xf>
    <xf numFmtId="49" fontId="41" fillId="0" borderId="3">
      <alignment horizontal="left" vertical="center"/>
      <protection locked="0"/>
    </xf>
    <xf numFmtId="49" fontId="41" fillId="0" borderId="3">
      <alignment horizontal="left" vertical="center"/>
    </xf>
    <xf numFmtId="4" fontId="40" fillId="0" borderId="3">
      <alignment horizontal="right" vertical="center"/>
      <protection locked="0"/>
    </xf>
    <xf numFmtId="4" fontId="40" fillId="0" borderId="3">
      <alignment horizontal="right" vertical="center"/>
    </xf>
    <xf numFmtId="49" fontId="38" fillId="0" borderId="3">
      <alignment horizontal="left" vertical="center"/>
      <protection locked="0"/>
    </xf>
    <xf numFmtId="49" fontId="39" fillId="0" borderId="3">
      <alignment horizontal="left" vertical="center"/>
      <protection locked="0"/>
    </xf>
    <xf numFmtId="4" fontId="38" fillId="0" borderId="3">
      <alignment horizontal="right" vertical="center"/>
      <protection locked="0"/>
    </xf>
    <xf numFmtId="0" fontId="21" fillId="0" borderId="8" applyNumberFormat="0" applyFill="0" applyAlignment="0" applyProtection="0"/>
    <xf numFmtId="0" fontId="18" fillId="23" borderId="0" applyNumberFormat="0" applyBorder="0" applyAlignment="0" applyProtection="0"/>
    <xf numFmtId="0" fontId="6" fillId="0" borderId="0"/>
    <xf numFmtId="0" fontId="6" fillId="0" borderId="0"/>
    <xf numFmtId="0" fontId="6" fillId="24" borderId="0" applyNumberFormat="0" applyFill="0" applyAlignment="0">
      <alignment horizontal="center"/>
      <protection locked="0"/>
    </xf>
    <xf numFmtId="0" fontId="3" fillId="25" borderId="9" applyNumberFormat="0" applyFont="0" applyAlignment="0" applyProtection="0"/>
    <xf numFmtId="4" fontId="42" fillId="26" borderId="3">
      <alignment horizontal="right" vertical="center"/>
      <protection locked="0"/>
    </xf>
    <xf numFmtId="4" fontId="42" fillId="27" borderId="3">
      <alignment horizontal="right" vertical="center"/>
      <protection locked="0"/>
    </xf>
    <xf numFmtId="4" fontId="42" fillId="28" borderId="3">
      <alignment horizontal="right" vertical="center"/>
      <protection locked="0"/>
    </xf>
    <xf numFmtId="0" fontId="10" fillId="20" borderId="10" applyNumberFormat="0" applyAlignment="0" applyProtection="0"/>
    <xf numFmtId="49" fontId="27" fillId="0" borderId="3">
      <alignment horizontal="left" vertical="center" wrapText="1"/>
      <protection locked="0"/>
    </xf>
    <xf numFmtId="49" fontId="27" fillId="0" borderId="3">
      <alignment horizontal="left" vertical="center" wrapText="1"/>
      <protection locked="0"/>
    </xf>
    <xf numFmtId="0" fontId="17" fillId="0" borderId="0" applyNumberFormat="0" applyFill="0" applyBorder="0" applyAlignment="0" applyProtection="0"/>
    <xf numFmtId="0" fontId="15" fillId="0" borderId="11" applyNumberFormat="0" applyFill="0" applyAlignment="0" applyProtection="0"/>
    <xf numFmtId="0" fontId="22" fillId="0" borderId="0" applyNumberFormat="0" applyFill="0" applyBorder="0" applyAlignment="0" applyProtection="0"/>
    <xf numFmtId="0" fontId="26" fillId="16" borderId="0" applyNumberFormat="0" applyBorder="0" applyAlignment="0" applyProtection="0"/>
    <xf numFmtId="0" fontId="8" fillId="16" borderId="0" applyNumberFormat="0" applyBorder="0" applyAlignment="0" applyProtection="0"/>
    <xf numFmtId="0" fontId="26" fillId="17" borderId="0" applyNumberFormat="0" applyBorder="0" applyAlignment="0" applyProtection="0"/>
    <xf numFmtId="0" fontId="8" fillId="17" borderId="0" applyNumberFormat="0" applyBorder="0" applyAlignment="0" applyProtection="0"/>
    <xf numFmtId="0" fontId="26" fillId="18" borderId="0" applyNumberFormat="0" applyBorder="0" applyAlignment="0" applyProtection="0"/>
    <xf numFmtId="0" fontId="8" fillId="18" borderId="0" applyNumberFormat="0" applyBorder="0" applyAlignment="0" applyProtection="0"/>
    <xf numFmtId="0" fontId="26" fillId="13" borderId="0" applyNumberFormat="0" applyBorder="0" applyAlignment="0" applyProtection="0"/>
    <xf numFmtId="0" fontId="8" fillId="13" borderId="0" applyNumberFormat="0" applyBorder="0" applyAlignment="0" applyProtection="0"/>
    <xf numFmtId="0" fontId="26" fillId="14" borderId="0" applyNumberFormat="0" applyBorder="0" applyAlignment="0" applyProtection="0"/>
    <xf numFmtId="0" fontId="8" fillId="14" borderId="0" applyNumberFormat="0" applyBorder="0" applyAlignment="0" applyProtection="0"/>
    <xf numFmtId="0" fontId="26" fillId="19" borderId="0" applyNumberFormat="0" applyBorder="0" applyAlignment="0" applyProtection="0"/>
    <xf numFmtId="0" fontId="8" fillId="19" borderId="0" applyNumberFormat="0" applyBorder="0" applyAlignment="0" applyProtection="0"/>
    <xf numFmtId="0" fontId="43" fillId="7" borderId="1" applyNumberFormat="0" applyAlignment="0" applyProtection="0"/>
    <xf numFmtId="0" fontId="9" fillId="7" borderId="1" applyNumberFormat="0" applyAlignment="0" applyProtection="0"/>
    <xf numFmtId="0" fontId="44" fillId="20" borderId="10" applyNumberFormat="0" applyAlignment="0" applyProtection="0"/>
    <xf numFmtId="0" fontId="10" fillId="20" borderId="10" applyNumberFormat="0" applyAlignment="0" applyProtection="0"/>
    <xf numFmtId="0" fontId="45" fillId="20" borderId="1" applyNumberFormat="0" applyAlignment="0" applyProtection="0"/>
    <xf numFmtId="0" fontId="11" fillId="20" borderId="1" applyNumberFormat="0" applyAlignment="0" applyProtection="0"/>
    <xf numFmtId="172" fontId="6" fillId="0" borderId="0" applyFont="0" applyFill="0" applyBorder="0" applyAlignment="0" applyProtection="0"/>
    <xf numFmtId="0" fontId="46" fillId="0" borderId="4" applyNumberFormat="0" applyFill="0" applyAlignment="0" applyProtection="0"/>
    <xf numFmtId="0" fontId="12" fillId="0" borderId="4" applyNumberFormat="0" applyFill="0" applyAlignment="0" applyProtection="0"/>
    <xf numFmtId="0" fontId="47" fillId="0" borderId="5" applyNumberFormat="0" applyFill="0" applyAlignment="0" applyProtection="0"/>
    <xf numFmtId="0" fontId="13" fillId="0" borderId="5" applyNumberFormat="0" applyFill="0" applyAlignment="0" applyProtection="0"/>
    <xf numFmtId="0" fontId="48" fillId="0" borderId="6" applyNumberFormat="0" applyFill="0" applyAlignment="0" applyProtection="0"/>
    <xf numFmtId="0" fontId="14" fillId="0" borderId="6" applyNumberFormat="0" applyFill="0" applyAlignment="0" applyProtection="0"/>
    <xf numFmtId="0" fontId="4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9" fillId="0" borderId="11" applyNumberFormat="0" applyFill="0" applyAlignment="0" applyProtection="0"/>
    <xf numFmtId="0" fontId="15" fillId="0" borderId="11" applyNumberFormat="0" applyFill="0" applyAlignment="0" applyProtection="0"/>
    <xf numFmtId="0" fontId="50" fillId="21" borderId="2" applyNumberFormat="0" applyAlignment="0" applyProtection="0"/>
    <xf numFmtId="0" fontId="16" fillId="21" borderId="2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51" fillId="23" borderId="0" applyNumberFormat="0" applyBorder="0" applyAlignment="0" applyProtection="0"/>
    <xf numFmtId="0" fontId="18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62" fillId="0" borderId="0"/>
    <xf numFmtId="0" fontId="6" fillId="0" borderId="0"/>
    <xf numFmtId="0" fontId="3" fillId="0" borderId="0"/>
    <xf numFmtId="0" fontId="6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 applyNumberFormat="0" applyFont="0" applyFill="0" applyBorder="0" applyAlignment="0" applyProtection="0">
      <alignment vertical="top"/>
    </xf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52" fillId="3" borderId="0" applyNumberFormat="0" applyBorder="0" applyAlignment="0" applyProtection="0"/>
    <xf numFmtId="0" fontId="19" fillId="3" borderId="0" applyNumberFormat="0" applyBorder="0" applyAlignment="0" applyProtection="0"/>
    <xf numFmtId="0" fontId="53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4" fillId="25" borderId="9" applyNumberFormat="0" applyFont="0" applyAlignment="0" applyProtection="0"/>
    <xf numFmtId="0" fontId="6" fillId="25" borderId="9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5" fillId="0" borderId="8" applyNumberFormat="0" applyFill="0" applyAlignment="0" applyProtection="0"/>
    <xf numFmtId="0" fontId="21" fillId="0" borderId="8" applyNumberFormat="0" applyFill="0" applyAlignment="0" applyProtection="0"/>
    <xf numFmtId="0" fontId="24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173" fontId="58" fillId="0" borderId="0" applyFont="0" applyFill="0" applyBorder="0" applyAlignment="0" applyProtection="0"/>
    <xf numFmtId="174" fontId="58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59" fillId="4" borderId="0" applyNumberFormat="0" applyBorder="0" applyAlignment="0" applyProtection="0"/>
    <xf numFmtId="0" fontId="23" fillId="4" borderId="0" applyNumberFormat="0" applyBorder="0" applyAlignment="0" applyProtection="0"/>
    <xf numFmtId="176" fontId="60" fillId="22" borderId="12" applyFill="0" applyBorder="0">
      <alignment horizontal="center" vertical="center" wrapText="1"/>
      <protection locked="0"/>
    </xf>
    <xf numFmtId="171" fontId="61" fillId="0" borderId="0">
      <alignment wrapText="1"/>
    </xf>
    <xf numFmtId="171" fontId="28" fillId="0" borderId="0">
      <alignment wrapText="1"/>
    </xf>
    <xf numFmtId="0" fontId="6" fillId="0" borderId="0"/>
    <xf numFmtId="0" fontId="1" fillId="0" borderId="0"/>
  </cellStyleXfs>
  <cellXfs count="291">
    <xf numFmtId="0" fontId="0" fillId="0" borderId="0" xfId="0"/>
    <xf numFmtId="0" fontId="63" fillId="0" borderId="0" xfId="0" applyFont="1" applyFill="1" applyAlignment="1">
      <alignment vertical="center"/>
    </xf>
    <xf numFmtId="0" fontId="66" fillId="0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horizontal="center" vertical="center" wrapText="1"/>
    </xf>
    <xf numFmtId="0" fontId="66" fillId="0" borderId="3" xfId="0" applyFont="1" applyFill="1" applyBorder="1" applyAlignment="1">
      <alignment horizontal="center" vertical="center"/>
    </xf>
    <xf numFmtId="0" fontId="64" fillId="0" borderId="0" xfId="0" applyFont="1" applyFill="1" applyBorder="1" applyAlignment="1">
      <alignment vertical="center"/>
    </xf>
    <xf numFmtId="170" fontId="66" fillId="0" borderId="0" xfId="0" applyNumberFormat="1" applyFont="1" applyFill="1" applyBorder="1" applyAlignment="1">
      <alignment horizontal="right" vertical="center" wrapText="1"/>
    </xf>
    <xf numFmtId="0" fontId="66" fillId="0" borderId="0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vertical="center" wrapText="1"/>
    </xf>
    <xf numFmtId="0" fontId="67" fillId="0" borderId="0" xfId="0" applyFont="1" applyFill="1" applyBorder="1" applyAlignment="1">
      <alignment horizontal="left" vertical="center"/>
    </xf>
    <xf numFmtId="0" fontId="63" fillId="0" borderId="0" xfId="0" applyFont="1" applyFill="1" applyAlignment="1"/>
    <xf numFmtId="0" fontId="66" fillId="0" borderId="3" xfId="0" applyFont="1" applyFill="1" applyBorder="1" applyAlignment="1">
      <alignment horizontal="center" vertical="center" wrapText="1"/>
    </xf>
    <xf numFmtId="179" fontId="64" fillId="0" borderId="3" xfId="0" applyNumberFormat="1" applyFont="1" applyFill="1" applyBorder="1" applyAlignment="1">
      <alignment horizontal="center" vertical="center" wrapText="1"/>
    </xf>
    <xf numFmtId="169" fontId="66" fillId="0" borderId="3" xfId="0" applyNumberFormat="1" applyFont="1" applyFill="1" applyBorder="1" applyAlignment="1">
      <alignment horizontal="right" vertical="center"/>
    </xf>
    <xf numFmtId="178" fontId="64" fillId="0" borderId="3" xfId="0" applyNumberFormat="1" applyFont="1" applyFill="1" applyBorder="1" applyAlignment="1">
      <alignment horizontal="center" vertical="center" wrapText="1"/>
    </xf>
    <xf numFmtId="178" fontId="66" fillId="0" borderId="3" xfId="0" applyNumberFormat="1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left" vertical="center" wrapText="1"/>
    </xf>
    <xf numFmtId="178" fontId="66" fillId="0" borderId="3" xfId="0" applyNumberFormat="1" applyFont="1" applyFill="1" applyBorder="1" applyAlignment="1">
      <alignment horizontal="center" vertical="center" wrapText="1"/>
    </xf>
    <xf numFmtId="178" fontId="64" fillId="0" borderId="3" xfId="0" applyNumberFormat="1" applyFont="1" applyFill="1" applyBorder="1" applyAlignment="1">
      <alignment horizontal="center" vertical="center"/>
    </xf>
    <xf numFmtId="179" fontId="66" fillId="0" borderId="0" xfId="0" applyNumberFormat="1" applyFont="1" applyFill="1" applyBorder="1" applyAlignment="1">
      <alignment vertical="center"/>
    </xf>
    <xf numFmtId="0" fontId="79" fillId="0" borderId="3" xfId="0" applyFont="1" applyFill="1" applyBorder="1" applyAlignment="1">
      <alignment vertical="center" wrapText="1"/>
    </xf>
    <xf numFmtId="0" fontId="64" fillId="0" borderId="3" xfId="0" applyFont="1" applyFill="1" applyBorder="1" applyAlignment="1">
      <alignment vertical="center" wrapText="1"/>
    </xf>
    <xf numFmtId="0" fontId="66" fillId="0" borderId="3" xfId="0" applyFont="1" applyFill="1" applyBorder="1" applyAlignment="1">
      <alignment vertical="center" wrapText="1"/>
    </xf>
    <xf numFmtId="0" fontId="66" fillId="0" borderId="3" xfId="0" applyFont="1" applyFill="1" applyBorder="1" applyAlignment="1">
      <alignment vertical="center"/>
    </xf>
    <xf numFmtId="0" fontId="79" fillId="0" borderId="3" xfId="0" applyFont="1" applyFill="1" applyBorder="1" applyAlignment="1">
      <alignment horizontal="left" vertical="center"/>
    </xf>
    <xf numFmtId="0" fontId="79" fillId="0" borderId="3" xfId="0" applyFont="1" applyFill="1" applyBorder="1" applyAlignment="1">
      <alignment vertical="center"/>
    </xf>
    <xf numFmtId="0" fontId="64" fillId="0" borderId="3" xfId="0" quotePrefix="1" applyFont="1" applyFill="1" applyBorder="1" applyAlignment="1">
      <alignment horizontal="center" vertical="center"/>
    </xf>
    <xf numFmtId="179" fontId="64" fillId="0" borderId="0" xfId="0" applyNumberFormat="1" applyFont="1" applyFill="1" applyBorder="1" applyAlignment="1">
      <alignment vertical="center"/>
    </xf>
    <xf numFmtId="0" fontId="71" fillId="0" borderId="0" xfId="0" applyFont="1" applyFill="1" applyBorder="1" applyAlignment="1">
      <alignment horizontal="center" vertical="center" wrapText="1"/>
    </xf>
    <xf numFmtId="0" fontId="66" fillId="0" borderId="0" xfId="0" quotePrefix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horizontal="center" vertical="center" wrapText="1"/>
    </xf>
    <xf numFmtId="170" fontId="64" fillId="0" borderId="0" xfId="0" applyNumberFormat="1" applyFont="1" applyFill="1" applyBorder="1" applyAlignment="1">
      <alignment vertical="center"/>
    </xf>
    <xf numFmtId="179" fontId="64" fillId="0" borderId="0" xfId="0" applyNumberFormat="1" applyFont="1" applyFill="1" applyBorder="1" applyAlignment="1">
      <alignment horizontal="center" vertical="center"/>
    </xf>
    <xf numFmtId="178" fontId="64" fillId="0" borderId="0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horizontal="center" vertical="center"/>
    </xf>
    <xf numFmtId="178" fontId="66" fillId="0" borderId="0" xfId="0" applyNumberFormat="1" applyFont="1" applyFill="1" applyBorder="1" applyAlignment="1">
      <alignment vertical="center"/>
    </xf>
    <xf numFmtId="0" fontId="65" fillId="0" borderId="3" xfId="0" applyFont="1" applyFill="1" applyBorder="1" applyAlignment="1">
      <alignment horizontal="left" vertical="center"/>
    </xf>
    <xf numFmtId="49" fontId="64" fillId="0" borderId="3" xfId="0" applyNumberFormat="1" applyFont="1" applyFill="1" applyBorder="1" applyAlignment="1">
      <alignment horizontal="center" vertical="center"/>
    </xf>
    <xf numFmtId="49" fontId="80" fillId="0" borderId="3" xfId="0" applyNumberFormat="1" applyFont="1" applyFill="1" applyBorder="1" applyAlignment="1">
      <alignment horizontal="center" vertical="center"/>
    </xf>
    <xf numFmtId="0" fontId="80" fillId="0" borderId="3" xfId="0" applyFont="1" applyFill="1" applyBorder="1" applyAlignment="1">
      <alignment horizontal="left" vertical="center" wrapText="1"/>
    </xf>
    <xf numFmtId="0" fontId="80" fillId="0" borderId="3" xfId="0" applyFont="1" applyFill="1" applyBorder="1" applyAlignment="1">
      <alignment horizontal="center" vertical="center" wrapText="1"/>
    </xf>
    <xf numFmtId="178" fontId="76" fillId="0" borderId="3" xfId="0" applyNumberFormat="1" applyFont="1" applyFill="1" applyBorder="1" applyAlignment="1">
      <alignment horizontal="center" vertical="center" wrapText="1"/>
    </xf>
    <xf numFmtId="178" fontId="76" fillId="0" borderId="3" xfId="0" applyNumberFormat="1" applyFont="1" applyFill="1" applyBorder="1" applyAlignment="1">
      <alignment horizontal="center" vertical="center"/>
    </xf>
    <xf numFmtId="49" fontId="78" fillId="0" borderId="3" xfId="0" applyNumberFormat="1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center" vertical="center" wrapText="1"/>
    </xf>
    <xf numFmtId="170" fontId="66" fillId="0" borderId="0" xfId="0" applyNumberFormat="1" applyFont="1" applyFill="1" applyBorder="1" applyAlignment="1">
      <alignment vertical="center"/>
    </xf>
    <xf numFmtId="0" fontId="80" fillId="0" borderId="3" xfId="0" applyFont="1" applyFill="1" applyBorder="1" applyAlignment="1">
      <alignment horizontal="center" vertical="center"/>
    </xf>
    <xf numFmtId="0" fontId="81" fillId="0" borderId="0" xfId="0" applyFont="1" applyFill="1" applyBorder="1" applyAlignment="1">
      <alignment vertical="center"/>
    </xf>
    <xf numFmtId="49" fontId="79" fillId="0" borderId="3" xfId="0" applyNumberFormat="1" applyFont="1" applyFill="1" applyBorder="1" applyAlignment="1">
      <alignment horizontal="center" vertical="center"/>
    </xf>
    <xf numFmtId="178" fontId="65" fillId="0" borderId="3" xfId="0" applyNumberFormat="1" applyFont="1" applyFill="1" applyBorder="1" applyAlignment="1">
      <alignment horizontal="center" vertical="center" wrapText="1"/>
    </xf>
    <xf numFmtId="178" fontId="66" fillId="0" borderId="0" xfId="0" applyNumberFormat="1" applyFont="1" applyFill="1" applyBorder="1" applyAlignment="1">
      <alignment horizontal="center"/>
    </xf>
    <xf numFmtId="179" fontId="66" fillId="0" borderId="0" xfId="0" applyNumberFormat="1" applyFont="1" applyFill="1" applyBorder="1" applyAlignment="1">
      <alignment horizontal="center"/>
    </xf>
    <xf numFmtId="49" fontId="77" fillId="0" borderId="3" xfId="0" applyNumberFormat="1" applyFont="1" applyFill="1" applyBorder="1" applyAlignment="1">
      <alignment horizontal="center" vertical="center"/>
    </xf>
    <xf numFmtId="169" fontId="66" fillId="0" borderId="0" xfId="0" applyNumberFormat="1" applyFont="1" applyFill="1" applyBorder="1" applyAlignment="1">
      <alignment vertical="center"/>
    </xf>
    <xf numFmtId="0" fontId="77" fillId="0" borderId="3" xfId="0" applyFont="1" applyFill="1" applyBorder="1" applyAlignment="1">
      <alignment horizontal="center" vertical="center"/>
    </xf>
    <xf numFmtId="178" fontId="82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horizontal="left" vertical="center" wrapText="1"/>
    </xf>
    <xf numFmtId="0" fontId="80" fillId="0" borderId="15" xfId="0" applyFont="1" applyFill="1" applyBorder="1" applyAlignment="1">
      <alignment vertical="center"/>
    </xf>
    <xf numFmtId="0" fontId="80" fillId="0" borderId="3" xfId="0" applyFont="1" applyFill="1" applyBorder="1" applyAlignment="1">
      <alignment vertical="center" wrapText="1"/>
    </xf>
    <xf numFmtId="0" fontId="79" fillId="0" borderId="15" xfId="0" applyFont="1" applyFill="1" applyBorder="1" applyAlignment="1">
      <alignment vertical="center" wrapText="1"/>
    </xf>
    <xf numFmtId="0" fontId="79" fillId="0" borderId="15" xfId="0" applyFont="1" applyFill="1" applyBorder="1" applyAlignment="1">
      <alignment vertical="center"/>
    </xf>
    <xf numFmtId="0" fontId="77" fillId="0" borderId="3" xfId="0" applyFont="1" applyFill="1" applyBorder="1" applyAlignment="1">
      <alignment vertical="center" wrapText="1"/>
    </xf>
    <xf numFmtId="0" fontId="77" fillId="0" borderId="3" xfId="0" applyFont="1" applyFill="1" applyBorder="1" applyAlignment="1">
      <alignment horizontal="center" vertical="center" wrapText="1"/>
    </xf>
    <xf numFmtId="0" fontId="80" fillId="0" borderId="15" xfId="0" applyFont="1" applyFill="1" applyBorder="1" applyAlignment="1">
      <alignment vertical="center" wrapText="1"/>
    </xf>
    <xf numFmtId="0" fontId="77" fillId="0" borderId="3" xfId="0" applyFont="1" applyFill="1" applyBorder="1" applyAlignment="1">
      <alignment horizontal="left" vertical="center"/>
    </xf>
    <xf numFmtId="0" fontId="78" fillId="0" borderId="3" xfId="0" applyFont="1" applyFill="1" applyBorder="1" applyAlignment="1">
      <alignment horizontal="left" vertical="center"/>
    </xf>
    <xf numFmtId="0" fontId="79" fillId="0" borderId="13" xfId="0" applyFont="1" applyFill="1" applyBorder="1" applyAlignment="1">
      <alignment horizontal="left" vertical="center" wrapText="1"/>
    </xf>
    <xf numFmtId="0" fontId="78" fillId="0" borderId="3" xfId="0" applyFont="1" applyFill="1" applyBorder="1" applyAlignment="1">
      <alignment horizontal="left" vertical="center" wrapText="1"/>
    </xf>
    <xf numFmtId="0" fontId="76" fillId="0" borderId="3" xfId="0" applyFont="1" applyFill="1" applyBorder="1" applyAlignment="1">
      <alignment vertical="center" wrapText="1"/>
    </xf>
    <xf numFmtId="0" fontId="76" fillId="0" borderId="3" xfId="0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vertical="center"/>
    </xf>
    <xf numFmtId="0" fontId="76" fillId="0" borderId="3" xfId="0" applyFont="1" applyFill="1" applyBorder="1" applyAlignment="1">
      <alignment horizontal="left" vertical="center"/>
    </xf>
    <xf numFmtId="49" fontId="76" fillId="0" borderId="3" xfId="0" applyNumberFormat="1" applyFont="1" applyFill="1" applyBorder="1" applyAlignment="1">
      <alignment horizontal="center" vertical="center"/>
    </xf>
    <xf numFmtId="0" fontId="76" fillId="0" borderId="3" xfId="0" applyFont="1" applyFill="1" applyBorder="1" applyAlignment="1">
      <alignment horizontal="left" vertical="center" wrapText="1"/>
    </xf>
    <xf numFmtId="49" fontId="66" fillId="0" borderId="3" xfId="0" applyNumberFormat="1" applyFont="1" applyFill="1" applyBorder="1" applyAlignment="1">
      <alignment horizontal="center" vertical="center"/>
    </xf>
    <xf numFmtId="49" fontId="65" fillId="0" borderId="3" xfId="0" applyNumberFormat="1" applyFont="1" applyFill="1" applyBorder="1" applyAlignment="1">
      <alignment horizontal="center" vertical="center"/>
    </xf>
    <xf numFmtId="0" fontId="77" fillId="0" borderId="3" xfId="0" applyFont="1" applyFill="1" applyBorder="1" applyAlignment="1">
      <alignment vertical="center"/>
    </xf>
    <xf numFmtId="0" fontId="78" fillId="0" borderId="3" xfId="0" applyFont="1" applyFill="1" applyBorder="1" applyAlignment="1">
      <alignment vertical="center"/>
    </xf>
    <xf numFmtId="0" fontId="78" fillId="0" borderId="3" xfId="0" applyFont="1" applyFill="1" applyBorder="1" applyAlignment="1">
      <alignment horizontal="center" vertical="center" wrapText="1"/>
    </xf>
    <xf numFmtId="0" fontId="80" fillId="0" borderId="3" xfId="0" applyFont="1" applyFill="1" applyBorder="1" applyAlignment="1">
      <alignment horizontal="left" vertical="center"/>
    </xf>
    <xf numFmtId="170" fontId="66" fillId="0" borderId="3" xfId="0" applyNumberFormat="1" applyFont="1" applyFill="1" applyBorder="1" applyAlignment="1">
      <alignment horizontal="right" vertical="center" wrapText="1"/>
    </xf>
    <xf numFmtId="0" fontId="71" fillId="0" borderId="0" xfId="0" applyFont="1" applyFill="1" applyBorder="1" applyAlignment="1">
      <alignment horizontal="center" wrapText="1"/>
    </xf>
    <xf numFmtId="0" fontId="64" fillId="0" borderId="0" xfId="0" applyFont="1" applyFill="1" applyBorder="1" applyAlignment="1">
      <alignment horizontal="center" vertical="center"/>
    </xf>
    <xf numFmtId="178" fontId="66" fillId="0" borderId="3" xfId="0" applyNumberFormat="1" applyFont="1" applyFill="1" applyBorder="1" applyAlignment="1">
      <alignment vertical="center"/>
    </xf>
    <xf numFmtId="180" fontId="66" fillId="0" borderId="0" xfId="0" applyNumberFormat="1" applyFont="1" applyFill="1" applyBorder="1" applyAlignment="1">
      <alignment vertical="center"/>
    </xf>
    <xf numFmtId="0" fontId="23" fillId="0" borderId="0" xfId="349" applyFill="1" applyBorder="1" applyAlignment="1">
      <alignment vertical="center"/>
    </xf>
    <xf numFmtId="0" fontId="76" fillId="0" borderId="0" xfId="0" applyFont="1" applyFill="1" applyBorder="1" applyAlignment="1">
      <alignment vertical="center"/>
    </xf>
    <xf numFmtId="180" fontId="64" fillId="0" borderId="0" xfId="0" applyNumberFormat="1" applyFont="1" applyFill="1" applyBorder="1" applyAlignment="1">
      <alignment vertical="center"/>
    </xf>
    <xf numFmtId="0" fontId="76" fillId="0" borderId="0" xfId="0" applyFont="1" applyFill="1" applyBorder="1" applyAlignment="1">
      <alignment horizontal="center" vertical="center"/>
    </xf>
    <xf numFmtId="0" fontId="64" fillId="0" borderId="0" xfId="0" applyNumberFormat="1" applyFont="1" applyFill="1" applyBorder="1" applyAlignment="1">
      <alignment vertical="center"/>
    </xf>
    <xf numFmtId="0" fontId="76" fillId="0" borderId="0" xfId="0" applyNumberFormat="1" applyFont="1" applyFill="1" applyBorder="1" applyAlignment="1">
      <alignment vertical="center"/>
    </xf>
    <xf numFmtId="178" fontId="64" fillId="0" borderId="0" xfId="0" applyNumberFormat="1" applyFont="1" applyFill="1" applyBorder="1" applyAlignment="1">
      <alignment vertical="center"/>
    </xf>
    <xf numFmtId="0" fontId="63" fillId="0" borderId="0" xfId="0" applyFont="1" applyFill="1" applyAlignment="1">
      <alignment horizontal="right" vertical="center"/>
    </xf>
    <xf numFmtId="0" fontId="63" fillId="0" borderId="13" xfId="0" applyFont="1" applyFill="1" applyBorder="1" applyAlignment="1">
      <alignment vertical="center"/>
    </xf>
    <xf numFmtId="0" fontId="63" fillId="0" borderId="13" xfId="0" applyFont="1" applyFill="1" applyBorder="1" applyAlignment="1">
      <alignment horizontal="center" vertical="center"/>
    </xf>
    <xf numFmtId="178" fontId="83" fillId="0" borderId="3" xfId="0" applyNumberFormat="1" applyFont="1" applyFill="1" applyBorder="1" applyAlignment="1">
      <alignment horizontal="center" vertical="center" wrapText="1"/>
    </xf>
    <xf numFmtId="0" fontId="67" fillId="0" borderId="15" xfId="0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 wrapText="1"/>
    </xf>
    <xf numFmtId="169" fontId="63" fillId="0" borderId="0" xfId="0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right" vertical="center"/>
    </xf>
    <xf numFmtId="169" fontId="67" fillId="0" borderId="0" xfId="0" applyNumberFormat="1" applyFont="1" applyFill="1" applyBorder="1" applyAlignment="1">
      <alignment horizontal="right" vertical="center"/>
    </xf>
    <xf numFmtId="0" fontId="63" fillId="0" borderId="0" xfId="0" applyFont="1" applyFill="1" applyBorder="1" applyAlignment="1"/>
    <xf numFmtId="0" fontId="69" fillId="0" borderId="0" xfId="0" applyFont="1" applyFill="1" applyBorder="1" applyAlignment="1">
      <alignment horizontal="center" vertical="center"/>
    </xf>
    <xf numFmtId="0" fontId="69" fillId="0" borderId="18" xfId="0" applyFont="1" applyFill="1" applyBorder="1" applyAlignment="1">
      <alignment horizontal="center" vertical="center"/>
    </xf>
    <xf numFmtId="0" fontId="63" fillId="0" borderId="0" xfId="0" applyFont="1" applyFill="1" applyAlignment="1">
      <alignment vertical="center" wrapText="1" shrinkToFit="1"/>
    </xf>
    <xf numFmtId="0" fontId="63" fillId="0" borderId="0" xfId="0" applyFont="1" applyFill="1" applyBorder="1" applyAlignment="1">
      <alignment vertical="center" wrapText="1" shrinkToFit="1"/>
    </xf>
    <xf numFmtId="0" fontId="66" fillId="0" borderId="3" xfId="0" applyFont="1" applyFill="1" applyBorder="1" applyAlignment="1">
      <alignment horizontal="center" vertical="center" wrapText="1" shrinkToFit="1"/>
    </xf>
    <xf numFmtId="0" fontId="76" fillId="0" borderId="3" xfId="0" quotePrefix="1" applyFont="1" applyFill="1" applyBorder="1" applyAlignment="1">
      <alignment horizontal="center" vertical="center"/>
    </xf>
    <xf numFmtId="170" fontId="66" fillId="0" borderId="0" xfId="0" applyNumberFormat="1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vertical="center"/>
    </xf>
    <xf numFmtId="0" fontId="87" fillId="0" borderId="0" xfId="0" applyFont="1" applyFill="1" applyBorder="1" applyAlignment="1">
      <alignment vertical="center"/>
    </xf>
    <xf numFmtId="0" fontId="79" fillId="0" borderId="13" xfId="0" applyFont="1" applyFill="1" applyBorder="1" applyAlignment="1">
      <alignment horizontal="center" vertical="center"/>
    </xf>
    <xf numFmtId="0" fontId="79" fillId="0" borderId="0" xfId="0" applyFont="1" applyFill="1" applyBorder="1" applyAlignment="1">
      <alignment vertical="center"/>
    </xf>
    <xf numFmtId="179" fontId="81" fillId="0" borderId="0" xfId="0" applyNumberFormat="1" applyFont="1" applyFill="1" applyBorder="1" applyAlignment="1">
      <alignment vertical="center"/>
    </xf>
    <xf numFmtId="0" fontId="79" fillId="0" borderId="15" xfId="0" applyFont="1" applyFill="1" applyBorder="1" applyAlignment="1">
      <alignment horizontal="left" vertical="center" wrapText="1"/>
    </xf>
    <xf numFmtId="0" fontId="79" fillId="0" borderId="13" xfId="0" applyFont="1" applyFill="1" applyBorder="1" applyAlignment="1">
      <alignment horizontal="left" vertical="center"/>
    </xf>
    <xf numFmtId="179" fontId="66" fillId="0" borderId="0" xfId="0" applyNumberFormat="1" applyFont="1" applyFill="1" applyBorder="1" applyAlignment="1">
      <alignment horizontal="center" vertical="center"/>
    </xf>
    <xf numFmtId="178" fontId="81" fillId="0" borderId="3" xfId="0" applyNumberFormat="1" applyFont="1" applyFill="1" applyBorder="1" applyAlignment="1">
      <alignment horizontal="center" vertical="center" wrapText="1"/>
    </xf>
    <xf numFmtId="178" fontId="78" fillId="0" borderId="3" xfId="0" applyNumberFormat="1" applyFont="1" applyFill="1" applyBorder="1" applyAlignment="1">
      <alignment horizontal="center" vertical="center" wrapText="1"/>
    </xf>
    <xf numFmtId="178" fontId="79" fillId="0" borderId="3" xfId="0" applyNumberFormat="1" applyFont="1" applyFill="1" applyBorder="1" applyAlignment="1">
      <alignment horizontal="center" vertical="center"/>
    </xf>
    <xf numFmtId="178" fontId="79" fillId="0" borderId="0" xfId="0" applyNumberFormat="1" applyFont="1" applyFill="1" applyBorder="1" applyAlignment="1">
      <alignment horizontal="center" vertical="center"/>
    </xf>
    <xf numFmtId="0" fontId="69" fillId="0" borderId="0" xfId="0" applyFont="1" applyFill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 shrinkToFit="1"/>
    </xf>
    <xf numFmtId="0" fontId="67" fillId="0" borderId="3" xfId="182" applyFont="1" applyFill="1" applyBorder="1" applyAlignment="1">
      <alignment vertical="center" wrapText="1"/>
      <protection locked="0"/>
    </xf>
    <xf numFmtId="0" fontId="67" fillId="0" borderId="3" xfId="0" applyFont="1" applyFill="1" applyBorder="1" applyAlignment="1">
      <alignment horizontal="center" vertical="center"/>
    </xf>
    <xf numFmtId="169" fontId="63" fillId="0" borderId="0" xfId="0" applyNumberFormat="1" applyFont="1" applyFill="1" applyBorder="1" applyAlignment="1">
      <alignment vertical="center"/>
    </xf>
    <xf numFmtId="0" fontId="63" fillId="0" borderId="3" xfId="0" applyFont="1" applyFill="1" applyBorder="1" applyAlignment="1">
      <alignment horizontal="left" vertical="center" wrapText="1"/>
    </xf>
    <xf numFmtId="178" fontId="63" fillId="0" borderId="3" xfId="0" applyNumberFormat="1" applyFont="1" applyFill="1" applyBorder="1" applyAlignment="1">
      <alignment horizontal="center" vertical="center" wrapText="1"/>
    </xf>
    <xf numFmtId="178" fontId="84" fillId="0" borderId="3" xfId="0" applyNumberFormat="1" applyFont="1" applyFill="1" applyBorder="1" applyAlignment="1">
      <alignment horizontal="center" vertical="center" wrapText="1"/>
    </xf>
    <xf numFmtId="0" fontId="63" fillId="0" borderId="3" xfId="182" applyFont="1" applyFill="1" applyBorder="1" applyAlignment="1">
      <alignment vertical="center" wrapText="1"/>
      <protection locked="0"/>
    </xf>
    <xf numFmtId="178" fontId="85" fillId="0" borderId="3" xfId="0" applyNumberFormat="1" applyFont="1" applyFill="1" applyBorder="1" applyAlignment="1">
      <alignment horizontal="center" vertical="center" wrapText="1"/>
    </xf>
    <xf numFmtId="179" fontId="63" fillId="0" borderId="0" xfId="0" applyNumberFormat="1" applyFont="1" applyFill="1" applyBorder="1" applyAlignment="1">
      <alignment vertical="center"/>
    </xf>
    <xf numFmtId="170" fontId="63" fillId="0" borderId="3" xfId="0" applyNumberFormat="1" applyFont="1" applyFill="1" applyBorder="1" applyAlignment="1">
      <alignment horizontal="center" vertical="center" wrapText="1"/>
    </xf>
    <xf numFmtId="0" fontId="67" fillId="0" borderId="3" xfId="0" applyFont="1" applyFill="1" applyBorder="1" applyAlignment="1">
      <alignment horizontal="left" vertical="center" wrapText="1"/>
    </xf>
    <xf numFmtId="170" fontId="67" fillId="0" borderId="3" xfId="0" applyNumberFormat="1" applyFont="1" applyFill="1" applyBorder="1" applyAlignment="1">
      <alignment horizontal="center" vertical="center" wrapText="1"/>
    </xf>
    <xf numFmtId="0" fontId="67" fillId="0" borderId="3" xfId="245" applyFont="1" applyFill="1" applyBorder="1" applyAlignment="1">
      <alignment horizontal="left" vertical="center" wrapText="1"/>
    </xf>
    <xf numFmtId="0" fontId="63" fillId="0" borderId="3" xfId="245" applyFont="1" applyFill="1" applyBorder="1" applyAlignment="1">
      <alignment horizontal="left" vertical="center" wrapText="1"/>
    </xf>
    <xf numFmtId="0" fontId="67" fillId="0" borderId="3" xfId="0" applyFont="1" applyFill="1" applyBorder="1" applyAlignment="1" applyProtection="1">
      <alignment horizontal="left" vertical="center" wrapText="1"/>
      <protection locked="0"/>
    </xf>
    <xf numFmtId="49" fontId="67" fillId="0" borderId="3" xfId="0" applyNumberFormat="1" applyFont="1" applyFill="1" applyBorder="1" applyAlignment="1">
      <alignment horizontal="center" vertical="center"/>
    </xf>
    <xf numFmtId="177" fontId="67" fillId="0" borderId="3" xfId="0" applyNumberFormat="1" applyFont="1" applyFill="1" applyBorder="1" applyAlignment="1">
      <alignment horizontal="right" vertical="center" wrapText="1"/>
    </xf>
    <xf numFmtId="177" fontId="67" fillId="0" borderId="3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horizontal="center" vertical="center"/>
    </xf>
    <xf numFmtId="177" fontId="63" fillId="0" borderId="3" xfId="0" applyNumberFormat="1" applyFont="1" applyFill="1" applyBorder="1" applyAlignment="1">
      <alignment horizontal="right" vertical="center" wrapText="1"/>
    </xf>
    <xf numFmtId="177" fontId="63" fillId="0" borderId="3" xfId="0" applyNumberFormat="1" applyFont="1" applyFill="1" applyBorder="1" applyAlignment="1">
      <alignment horizontal="center" vertical="center" wrapText="1"/>
    </xf>
    <xf numFmtId="177" fontId="63" fillId="0" borderId="0" xfId="0" applyNumberFormat="1" applyFont="1" applyFill="1" applyBorder="1" applyAlignment="1">
      <alignment vertical="center"/>
    </xf>
    <xf numFmtId="0" fontId="86" fillId="0" borderId="0" xfId="0" applyFont="1" applyFill="1" applyBorder="1" applyAlignment="1" applyProtection="1">
      <alignment horizontal="left" vertical="center" wrapText="1"/>
      <protection locked="0"/>
    </xf>
    <xf numFmtId="49" fontId="86" fillId="0" borderId="0" xfId="0" applyNumberFormat="1" applyFont="1" applyFill="1" applyBorder="1" applyAlignment="1">
      <alignment horizontal="center" vertical="center"/>
    </xf>
    <xf numFmtId="177" fontId="86" fillId="0" borderId="0" xfId="0" applyNumberFormat="1" applyFont="1" applyFill="1" applyBorder="1" applyAlignment="1">
      <alignment horizontal="center" vertical="center" wrapText="1"/>
    </xf>
    <xf numFmtId="178" fontId="67" fillId="0" borderId="3" xfId="0" applyNumberFormat="1" applyFont="1" applyFill="1" applyBorder="1" applyAlignment="1">
      <alignment horizontal="right" vertical="center" wrapText="1"/>
    </xf>
    <xf numFmtId="0" fontId="87" fillId="0" borderId="0" xfId="182" applyFont="1" applyFill="1" applyBorder="1" applyAlignment="1">
      <alignment vertical="center" wrapText="1"/>
      <protection locked="0"/>
    </xf>
    <xf numFmtId="0" fontId="87" fillId="0" borderId="0" xfId="0" applyFont="1" applyFill="1" applyBorder="1" applyAlignment="1">
      <alignment horizontal="center" vertical="center"/>
    </xf>
    <xf numFmtId="177" fontId="87" fillId="0" borderId="0" xfId="0" applyNumberFormat="1" applyFont="1" applyFill="1" applyBorder="1" applyAlignment="1">
      <alignment horizontal="center" vertical="center" wrapText="1"/>
    </xf>
    <xf numFmtId="178" fontId="63" fillId="0" borderId="3" xfId="0" applyNumberFormat="1" applyFont="1" applyFill="1" applyBorder="1" applyAlignment="1">
      <alignment horizontal="right" vertical="center" wrapText="1"/>
    </xf>
    <xf numFmtId="170" fontId="63" fillId="0" borderId="3" xfId="0" applyNumberFormat="1" applyFont="1" applyFill="1" applyBorder="1" applyAlignment="1">
      <alignment horizontal="right" vertical="center" wrapText="1"/>
    </xf>
    <xf numFmtId="170" fontId="87" fillId="0" borderId="3" xfId="0" applyNumberFormat="1" applyFont="1" applyFill="1" applyBorder="1" applyAlignment="1">
      <alignment horizontal="right" vertical="center" wrapText="1"/>
    </xf>
    <xf numFmtId="0" fontId="86" fillId="0" borderId="0" xfId="182" applyFont="1" applyFill="1" applyBorder="1" applyAlignment="1">
      <alignment vertical="center" wrapText="1"/>
      <protection locked="0"/>
    </xf>
    <xf numFmtId="0" fontId="86" fillId="0" borderId="0" xfId="0" applyFont="1" applyFill="1" applyBorder="1" applyAlignment="1">
      <alignment horizontal="center" vertical="center"/>
    </xf>
    <xf numFmtId="178" fontId="86" fillId="0" borderId="0" xfId="0" applyNumberFormat="1" applyFont="1" applyFill="1" applyBorder="1" applyAlignment="1">
      <alignment horizontal="center" vertical="center" wrapText="1"/>
    </xf>
    <xf numFmtId="178" fontId="86" fillId="0" borderId="3" xfId="0" applyNumberFormat="1" applyFont="1" applyFill="1" applyBorder="1" applyAlignment="1">
      <alignment horizontal="right" vertical="center" wrapText="1"/>
    </xf>
    <xf numFmtId="178" fontId="87" fillId="0" borderId="0" xfId="0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 applyProtection="1">
      <alignment horizontal="left" vertical="center"/>
      <protection locked="0"/>
    </xf>
    <xf numFmtId="170" fontId="67" fillId="0" borderId="0" xfId="0" applyNumberFormat="1" applyFont="1" applyFill="1" applyBorder="1" applyAlignment="1">
      <alignment horizontal="center" vertical="center" wrapText="1"/>
    </xf>
    <xf numFmtId="170" fontId="67" fillId="0" borderId="0" xfId="0" applyNumberFormat="1" applyFont="1" applyFill="1" applyBorder="1" applyAlignment="1">
      <alignment horizontal="right" vertical="center" wrapText="1"/>
    </xf>
    <xf numFmtId="170" fontId="63" fillId="0" borderId="0" xfId="0" applyNumberFormat="1" applyFont="1" applyFill="1" applyBorder="1" applyAlignment="1">
      <alignment horizontal="center" vertical="center" wrapText="1"/>
    </xf>
    <xf numFmtId="0" fontId="63" fillId="0" borderId="0" xfId="0" quotePrefix="1" applyFont="1" applyFill="1" applyBorder="1" applyAlignment="1">
      <alignment horizontal="center" vertical="center"/>
    </xf>
    <xf numFmtId="170" fontId="69" fillId="0" borderId="0" xfId="0" applyNumberFormat="1" applyFont="1" applyFill="1" applyBorder="1" applyAlignment="1">
      <alignment vertical="center"/>
    </xf>
    <xf numFmtId="0" fontId="63" fillId="0" borderId="0" xfId="0" applyFont="1" applyFill="1" applyBorder="1" applyAlignment="1">
      <alignment vertical="center" wrapText="1"/>
    </xf>
    <xf numFmtId="179" fontId="76" fillId="0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2" fontId="64" fillId="0" borderId="0" xfId="0" applyNumberFormat="1" applyFont="1" applyFill="1" applyBorder="1" applyAlignment="1">
      <alignment vertical="center"/>
    </xf>
    <xf numFmtId="0" fontId="63" fillId="0" borderId="17" xfId="0" applyFont="1" applyFill="1" applyBorder="1" applyAlignment="1">
      <alignment horizontal="center" vertical="center" wrapText="1"/>
    </xf>
    <xf numFmtId="178" fontId="77" fillId="0" borderId="3" xfId="0" applyNumberFormat="1" applyFont="1" applyFill="1" applyBorder="1" applyAlignment="1">
      <alignment vertical="center"/>
    </xf>
    <xf numFmtId="0" fontId="66" fillId="0" borderId="3" xfId="0" applyFont="1" applyFill="1" applyBorder="1" applyAlignment="1">
      <alignment wrapText="1"/>
    </xf>
    <xf numFmtId="178" fontId="79" fillId="0" borderId="3" xfId="0" applyNumberFormat="1" applyFont="1" applyFill="1" applyBorder="1" applyAlignment="1">
      <alignment horizontal="center" vertical="center" wrapText="1"/>
    </xf>
    <xf numFmtId="178" fontId="79" fillId="0" borderId="0" xfId="0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vertical="center"/>
    </xf>
    <xf numFmtId="0" fontId="67" fillId="0" borderId="0" xfId="0" applyFont="1" applyFill="1" applyAlignment="1">
      <alignment horizontal="center" vertical="center"/>
    </xf>
    <xf numFmtId="0" fontId="67" fillId="0" borderId="0" xfId="0" applyFont="1" applyFill="1" applyAlignment="1"/>
    <xf numFmtId="0" fontId="71" fillId="0" borderId="0" xfId="0" applyFont="1" applyFill="1" applyBorder="1" applyAlignment="1">
      <alignment horizontal="center" vertical="center"/>
    </xf>
    <xf numFmtId="169" fontId="63" fillId="0" borderId="0" xfId="0" applyNumberFormat="1" applyFont="1" applyFill="1" applyBorder="1" applyAlignment="1">
      <alignment horizontal="center" vertical="center"/>
    </xf>
    <xf numFmtId="169" fontId="71" fillId="0" borderId="0" xfId="0" applyNumberFormat="1" applyFont="1" applyFill="1" applyBorder="1" applyAlignment="1">
      <alignment vertical="center"/>
    </xf>
    <xf numFmtId="178" fontId="83" fillId="0" borderId="3" xfId="0" applyNumberFormat="1" applyFont="1" applyFill="1" applyBorder="1" applyAlignment="1">
      <alignment horizontal="center" vertical="center"/>
    </xf>
    <xf numFmtId="178" fontId="88" fillId="0" borderId="3" xfId="0" applyNumberFormat="1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vertical="center"/>
    </xf>
    <xf numFmtId="0" fontId="89" fillId="0" borderId="0" xfId="0" applyFont="1" applyFill="1" applyBorder="1" applyAlignment="1">
      <alignment vertical="center"/>
    </xf>
    <xf numFmtId="178" fontId="79" fillId="0" borderId="0" xfId="0" applyNumberFormat="1" applyFont="1" applyFill="1" applyBorder="1" applyAlignment="1">
      <alignment vertical="center"/>
    </xf>
    <xf numFmtId="0" fontId="68" fillId="0" borderId="0" xfId="0" applyNumberFormat="1" applyFont="1" applyFill="1" applyBorder="1" applyAlignment="1">
      <alignment vertical="center"/>
    </xf>
    <xf numFmtId="178" fontId="68" fillId="0" borderId="0" xfId="0" applyNumberFormat="1" applyFont="1" applyFill="1" applyBorder="1" applyAlignment="1">
      <alignment vertical="center"/>
    </xf>
    <xf numFmtId="179" fontId="68" fillId="0" borderId="0" xfId="0" applyNumberFormat="1" applyFont="1" applyFill="1" applyBorder="1" applyAlignment="1">
      <alignment vertical="center"/>
    </xf>
    <xf numFmtId="170" fontId="68" fillId="0" borderId="0" xfId="0" applyNumberFormat="1" applyFont="1" applyFill="1" applyBorder="1" applyAlignment="1">
      <alignment vertical="center"/>
    </xf>
    <xf numFmtId="178" fontId="82" fillId="0" borderId="3" xfId="0" applyNumberFormat="1" applyFont="1" applyFill="1" applyBorder="1" applyAlignment="1">
      <alignment horizontal="right" vertical="center"/>
    </xf>
    <xf numFmtId="0" fontId="64" fillId="0" borderId="0" xfId="0" applyFont="1" applyFill="1" applyBorder="1" applyAlignment="1">
      <alignment horizontal="left" vertical="center" wrapText="1"/>
    </xf>
    <xf numFmtId="0" fontId="66" fillId="0" borderId="3" xfId="0" applyFont="1" applyFill="1" applyBorder="1" applyAlignment="1">
      <alignment horizontal="left" vertical="center"/>
    </xf>
    <xf numFmtId="0" fontId="66" fillId="0" borderId="15" xfId="0" applyFont="1" applyFill="1" applyBorder="1" applyAlignment="1">
      <alignment vertical="center" wrapText="1"/>
    </xf>
    <xf numFmtId="178" fontId="82" fillId="0" borderId="3" xfId="0" applyNumberFormat="1" applyFont="1" applyFill="1" applyBorder="1" applyAlignment="1">
      <alignment vertical="center"/>
    </xf>
    <xf numFmtId="178" fontId="83" fillId="0" borderId="3" xfId="0" applyNumberFormat="1" applyFont="1" applyFill="1" applyBorder="1" applyAlignment="1">
      <alignment vertical="center"/>
    </xf>
    <xf numFmtId="178" fontId="82" fillId="0" borderId="3" xfId="0" applyNumberFormat="1" applyFont="1" applyFill="1" applyBorder="1" applyAlignment="1">
      <alignment horizontal="center" vertical="center" wrapText="1"/>
    </xf>
    <xf numFmtId="0" fontId="67" fillId="0" borderId="0" xfId="0" applyFont="1" applyFill="1" applyBorder="1" applyAlignment="1">
      <alignment horizontal="left"/>
    </xf>
    <xf numFmtId="0" fontId="63" fillId="0" borderId="13" xfId="0" applyFont="1" applyFill="1" applyBorder="1" applyAlignment="1"/>
    <xf numFmtId="0" fontId="63" fillId="0" borderId="0" xfId="0" applyFont="1" applyFill="1" applyBorder="1" applyAlignment="1">
      <alignment horizontal="center" wrapText="1"/>
    </xf>
    <xf numFmtId="0" fontId="67" fillId="0" borderId="0" xfId="0" applyFont="1" applyFill="1" applyBorder="1" applyAlignment="1">
      <alignment horizontal="right"/>
    </xf>
    <xf numFmtId="0" fontId="63" fillId="0" borderId="0" xfId="0" applyFont="1" applyFill="1" applyAlignment="1">
      <alignment wrapText="1" shrinkToFit="1"/>
    </xf>
    <xf numFmtId="0" fontId="74" fillId="0" borderId="0" xfId="0" applyFont="1" applyFill="1" applyAlignment="1"/>
    <xf numFmtId="169" fontId="63" fillId="0" borderId="0" xfId="0" applyNumberFormat="1" applyFont="1" applyFill="1" applyBorder="1" applyAlignment="1">
      <alignment horizontal="center" wrapText="1"/>
    </xf>
    <xf numFmtId="169" fontId="67" fillId="0" borderId="0" xfId="0" applyNumberFormat="1" applyFont="1" applyFill="1" applyBorder="1" applyAlignment="1">
      <alignment horizontal="right"/>
    </xf>
    <xf numFmtId="0" fontId="63" fillId="0" borderId="0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7" fillId="0" borderId="3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/>
    </xf>
    <xf numFmtId="0" fontId="6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67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3" fillId="0" borderId="3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0" fontId="68" fillId="0" borderId="3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center" vertical="center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left" vertical="center" wrapText="1"/>
    </xf>
    <xf numFmtId="0" fontId="64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left" vertical="center"/>
    </xf>
    <xf numFmtId="0" fontId="64" fillId="0" borderId="0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left" wrapText="1"/>
    </xf>
    <xf numFmtId="0" fontId="66" fillId="0" borderId="3" xfId="0" applyFont="1" applyFill="1" applyBorder="1" applyAlignment="1">
      <alignment horizontal="left" vertical="center" wrapText="1"/>
    </xf>
    <xf numFmtId="0" fontId="70" fillId="0" borderId="0" xfId="0" applyFont="1" applyFill="1" applyBorder="1" applyAlignment="1">
      <alignment horizontal="center" wrapText="1"/>
    </xf>
    <xf numFmtId="0" fontId="63" fillId="0" borderId="0" xfId="0" applyFont="1" applyFill="1" applyAlignment="1">
      <alignment horizontal="center" vertical="center"/>
    </xf>
    <xf numFmtId="0" fontId="63" fillId="0" borderId="18" xfId="0" applyFont="1" applyFill="1" applyBorder="1" applyAlignment="1">
      <alignment horizontal="center" vertical="center"/>
    </xf>
    <xf numFmtId="0" fontId="63" fillId="0" borderId="0" xfId="0" applyFont="1" applyFill="1" applyBorder="1" applyAlignment="1">
      <alignment horizontal="center" vertical="center"/>
    </xf>
    <xf numFmtId="0" fontId="63" fillId="0" borderId="0" xfId="0" applyFont="1" applyFill="1" applyAlignment="1">
      <alignment horizontal="left" vertical="center"/>
    </xf>
    <xf numFmtId="170" fontId="63" fillId="0" borderId="13" xfId="0" applyNumberFormat="1" applyFont="1" applyFill="1" applyBorder="1" applyAlignment="1">
      <alignment horizontal="center" vertical="center" wrapText="1"/>
    </xf>
    <xf numFmtId="170" fontId="63" fillId="0" borderId="13" xfId="0" quotePrefix="1" applyNumberFormat="1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/>
    </xf>
    <xf numFmtId="0" fontId="68" fillId="0" borderId="3" xfId="0" applyFont="1" applyFill="1" applyBorder="1" applyAlignment="1" applyProtection="1">
      <alignment horizontal="center" vertical="center"/>
      <protection locked="0"/>
    </xf>
    <xf numFmtId="0" fontId="63" fillId="0" borderId="3" xfId="0" applyFont="1" applyFill="1" applyBorder="1" applyAlignment="1">
      <alignment horizontal="center" vertical="center" wrapText="1"/>
    </xf>
    <xf numFmtId="0" fontId="63" fillId="0" borderId="3" xfId="0" applyFont="1" applyFill="1" applyBorder="1" applyAlignment="1">
      <alignment horizontal="center" vertical="center"/>
    </xf>
    <xf numFmtId="0" fontId="64" fillId="0" borderId="13" xfId="0" applyFont="1" applyFill="1" applyBorder="1" applyAlignment="1">
      <alignment horizontal="center"/>
    </xf>
    <xf numFmtId="0" fontId="67" fillId="0" borderId="3" xfId="0" applyFont="1" applyFill="1" applyBorder="1" applyAlignment="1">
      <alignment horizontal="center" vertical="center" wrapText="1"/>
    </xf>
    <xf numFmtId="0" fontId="68" fillId="0" borderId="0" xfId="0" applyFont="1" applyFill="1" applyBorder="1" applyAlignment="1">
      <alignment horizontal="center" vertical="center"/>
    </xf>
    <xf numFmtId="0" fontId="68" fillId="0" borderId="0" xfId="0" applyFont="1" applyFill="1" applyBorder="1" applyAlignment="1">
      <alignment horizontal="center" vertical="center" wrapText="1"/>
    </xf>
    <xf numFmtId="0" fontId="68" fillId="0" borderId="3" xfId="0" applyFont="1" applyFill="1" applyBorder="1" applyAlignment="1">
      <alignment horizontal="center" vertical="center" wrapText="1"/>
    </xf>
    <xf numFmtId="0" fontId="64" fillId="0" borderId="3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left" vertical="center" wrapText="1"/>
    </xf>
    <xf numFmtId="0" fontId="71" fillId="0" borderId="0" xfId="0" applyFont="1" applyFill="1" applyBorder="1" applyAlignment="1">
      <alignment horizontal="center"/>
    </xf>
    <xf numFmtId="0" fontId="66" fillId="0" borderId="0" xfId="0" applyFont="1" applyFill="1" applyBorder="1" applyAlignment="1">
      <alignment horizontal="center" vertical="center"/>
    </xf>
    <xf numFmtId="0" fontId="67" fillId="0" borderId="0" xfId="0" applyFont="1" applyFill="1" applyBorder="1" applyAlignment="1">
      <alignment horizontal="center" vertical="center" wrapText="1"/>
    </xf>
    <xf numFmtId="170" fontId="66" fillId="0" borderId="13" xfId="0" applyNumberFormat="1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left" vertical="center"/>
    </xf>
    <xf numFmtId="0" fontId="64" fillId="0" borderId="3" xfId="0" applyFont="1" applyFill="1" applyBorder="1" applyAlignment="1">
      <alignment horizontal="center" vertical="center"/>
    </xf>
    <xf numFmtId="0" fontId="64" fillId="0" borderId="3" xfId="0" applyFont="1" applyFill="1" applyBorder="1" applyAlignment="1">
      <alignment horizontal="center" vertical="center" wrapText="1"/>
    </xf>
    <xf numFmtId="170" fontId="66" fillId="0" borderId="13" xfId="0" applyNumberFormat="1" applyFont="1" applyFill="1" applyBorder="1" applyAlignment="1">
      <alignment horizontal="left" vertical="center" wrapText="1"/>
    </xf>
    <xf numFmtId="0" fontId="64" fillId="0" borderId="0" xfId="0" applyFont="1" applyFill="1" applyBorder="1" applyAlignment="1">
      <alignment horizontal="center" vertical="center" wrapText="1"/>
    </xf>
    <xf numFmtId="0" fontId="66" fillId="0" borderId="0" xfId="0" applyFont="1" applyFill="1" applyBorder="1" applyAlignment="1">
      <alignment horizontal="left" wrapText="1"/>
    </xf>
    <xf numFmtId="0" fontId="64" fillId="0" borderId="15" xfId="0" applyFont="1" applyFill="1" applyBorder="1" applyAlignment="1">
      <alignment horizontal="left" vertical="center" wrapText="1"/>
    </xf>
    <xf numFmtId="0" fontId="64" fillId="0" borderId="14" xfId="0" applyFont="1" applyFill="1" applyBorder="1" applyAlignment="1">
      <alignment horizontal="left" vertical="center" wrapText="1"/>
    </xf>
    <xf numFmtId="0" fontId="64" fillId="0" borderId="16" xfId="0" applyFont="1" applyFill="1" applyBorder="1" applyAlignment="1">
      <alignment horizontal="left" vertical="center" wrapText="1"/>
    </xf>
    <xf numFmtId="0" fontId="66" fillId="0" borderId="15" xfId="0" applyFont="1" applyFill="1" applyBorder="1" applyAlignment="1">
      <alignment horizontal="left" vertical="center" wrapText="1"/>
    </xf>
    <xf numFmtId="0" fontId="66" fillId="0" borderId="14" xfId="0" applyFont="1" applyFill="1" applyBorder="1" applyAlignment="1">
      <alignment horizontal="left" vertical="center" wrapText="1"/>
    </xf>
    <xf numFmtId="0" fontId="66" fillId="0" borderId="16" xfId="0" applyFont="1" applyFill="1" applyBorder="1" applyAlignment="1">
      <alignment horizontal="left" vertical="center" wrapText="1"/>
    </xf>
    <xf numFmtId="0" fontId="66" fillId="0" borderId="15" xfId="0" applyFont="1" applyFill="1" applyBorder="1" applyAlignment="1">
      <alignment horizontal="left" vertical="center"/>
    </xf>
    <xf numFmtId="0" fontId="66" fillId="0" borderId="14" xfId="0" applyFont="1" applyFill="1" applyBorder="1" applyAlignment="1">
      <alignment horizontal="left" vertical="center"/>
    </xf>
    <xf numFmtId="0" fontId="66" fillId="0" borderId="16" xfId="0" applyFont="1" applyFill="1" applyBorder="1" applyAlignment="1">
      <alignment horizontal="left" vertical="center"/>
    </xf>
    <xf numFmtId="3" fontId="67" fillId="0" borderId="15" xfId="0" applyNumberFormat="1" applyFont="1" applyFill="1" applyBorder="1" applyAlignment="1">
      <alignment horizontal="left" vertical="center" wrapText="1"/>
    </xf>
    <xf numFmtId="3" fontId="67" fillId="0" borderId="14" xfId="0" applyNumberFormat="1" applyFont="1" applyFill="1" applyBorder="1" applyAlignment="1">
      <alignment horizontal="left" vertical="center" wrapText="1"/>
    </xf>
    <xf numFmtId="0" fontId="74" fillId="0" borderId="0" xfId="0" applyFont="1" applyFill="1" applyAlignment="1">
      <alignment vertical="center" wrapText="1"/>
    </xf>
    <xf numFmtId="0" fontId="75" fillId="0" borderId="0" xfId="0" applyFont="1" applyFill="1" applyAlignment="1">
      <alignment vertical="center" wrapText="1"/>
    </xf>
    <xf numFmtId="0" fontId="70" fillId="0" borderId="0" xfId="0" applyFont="1" applyFill="1" applyBorder="1" applyAlignment="1">
      <alignment horizontal="center" wrapText="1"/>
    </xf>
    <xf numFmtId="0" fontId="73" fillId="0" borderId="0" xfId="0" applyFont="1" applyFill="1" applyAlignment="1">
      <alignment horizontal="center"/>
    </xf>
    <xf numFmtId="0" fontId="63" fillId="0" borderId="0" xfId="0" applyFont="1" applyFill="1" applyBorder="1" applyAlignment="1">
      <alignment horizontal="center"/>
    </xf>
    <xf numFmtId="0" fontId="63" fillId="0" borderId="0" xfId="0" applyFont="1" applyFill="1" applyAlignment="1">
      <alignment horizontal="center" vertical="center"/>
    </xf>
    <xf numFmtId="0" fontId="63" fillId="0" borderId="0" xfId="0" applyFont="1" applyFill="1" applyAlignment="1">
      <alignment horizontal="center"/>
    </xf>
    <xf numFmtId="0" fontId="64" fillId="0" borderId="3" xfId="0" applyFont="1" applyFill="1" applyBorder="1" applyAlignment="1">
      <alignment horizontal="left" wrapText="1"/>
    </xf>
    <xf numFmtId="0" fontId="63" fillId="0" borderId="3" xfId="0" applyFont="1" applyFill="1" applyBorder="1" applyAlignment="1">
      <alignment horizontal="center" wrapText="1"/>
    </xf>
    <xf numFmtId="0" fontId="66" fillId="0" borderId="3" xfId="0" applyFont="1" applyFill="1" applyBorder="1" applyAlignment="1">
      <alignment horizontal="left" vertical="center" wrapText="1"/>
    </xf>
    <xf numFmtId="0" fontId="66" fillId="0" borderId="15" xfId="0" applyFont="1" applyFill="1" applyBorder="1" applyAlignment="1">
      <alignment horizontal="center"/>
    </xf>
    <xf numFmtId="0" fontId="66" fillId="0" borderId="14" xfId="0" applyFont="1" applyFill="1" applyBorder="1" applyAlignment="1">
      <alignment horizontal="center"/>
    </xf>
    <xf numFmtId="0" fontId="66" fillId="0" borderId="16" xfId="0" applyFont="1" applyFill="1" applyBorder="1" applyAlignment="1">
      <alignment horizontal="center"/>
    </xf>
    <xf numFmtId="0" fontId="66" fillId="0" borderId="15" xfId="0" applyFont="1" applyFill="1" applyBorder="1" applyAlignment="1">
      <alignment horizontal="left"/>
    </xf>
    <xf numFmtId="0" fontId="66" fillId="0" borderId="14" xfId="0" applyFont="1" applyFill="1" applyBorder="1" applyAlignment="1">
      <alignment horizontal="left"/>
    </xf>
    <xf numFmtId="0" fontId="66" fillId="0" borderId="16" xfId="0" applyFont="1" applyFill="1" applyBorder="1" applyAlignment="1">
      <alignment horizontal="left"/>
    </xf>
    <xf numFmtId="0" fontId="67" fillId="0" borderId="0" xfId="0" applyFont="1" applyFill="1" applyBorder="1" applyAlignment="1">
      <alignment horizontal="center" vertical="center"/>
    </xf>
    <xf numFmtId="178" fontId="80" fillId="0" borderId="3" xfId="0" applyNumberFormat="1" applyFont="1" applyFill="1" applyBorder="1" applyAlignment="1">
      <alignment vertical="center"/>
    </xf>
    <xf numFmtId="178" fontId="88" fillId="0" borderId="3" xfId="0" applyNumberFormat="1" applyFont="1" applyFill="1" applyBorder="1" applyAlignment="1">
      <alignment vertical="center"/>
    </xf>
    <xf numFmtId="178" fontId="80" fillId="0" borderId="3" xfId="0" applyNumberFormat="1" applyFont="1" applyFill="1" applyBorder="1" applyAlignment="1">
      <alignment horizontal="center" vertical="center" wrapText="1"/>
    </xf>
    <xf numFmtId="170" fontId="66" fillId="0" borderId="3" xfId="0" applyNumberFormat="1" applyFont="1" applyFill="1" applyBorder="1" applyAlignment="1">
      <alignment vertical="center" wrapText="1"/>
    </xf>
    <xf numFmtId="178" fontId="66" fillId="0" borderId="3" xfId="0" applyNumberFormat="1" applyFont="1" applyFill="1" applyBorder="1" applyAlignment="1">
      <alignment vertical="center" wrapText="1"/>
    </xf>
    <xf numFmtId="178" fontId="77" fillId="0" borderId="3" xfId="0" applyNumberFormat="1" applyFont="1" applyFill="1" applyBorder="1" applyAlignment="1">
      <alignment horizontal="center" vertical="center" wrapText="1"/>
    </xf>
  </cellXfs>
  <cellStyles count="355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Звичайний 2" xfId="353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19" xfId="354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13" Type="http://schemas.openxmlformats.org/officeDocument/2006/relationships/externalLink" Target="externalLinks/externalLink8.xml"/><Relationship Id="rId18" Type="http://schemas.openxmlformats.org/officeDocument/2006/relationships/externalLink" Target="externalLinks/externalLink13.xml"/><Relationship Id="rId26" Type="http://schemas.openxmlformats.org/officeDocument/2006/relationships/externalLink" Target="externalLinks/externalLink21.xml"/><Relationship Id="rId39" Type="http://schemas.openxmlformats.org/officeDocument/2006/relationships/externalLink" Target="externalLinks/externalLink3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6.xml"/><Relationship Id="rId34" Type="http://schemas.openxmlformats.org/officeDocument/2006/relationships/externalLink" Target="externalLinks/externalLink29.xml"/><Relationship Id="rId42" Type="http://schemas.openxmlformats.org/officeDocument/2006/relationships/styles" Target="styles.xml"/><Relationship Id="rId7" Type="http://schemas.openxmlformats.org/officeDocument/2006/relationships/externalLink" Target="externalLinks/externalLink2.xml"/><Relationship Id="rId12" Type="http://schemas.openxmlformats.org/officeDocument/2006/relationships/externalLink" Target="externalLinks/externalLink7.xml"/><Relationship Id="rId17" Type="http://schemas.openxmlformats.org/officeDocument/2006/relationships/externalLink" Target="externalLinks/externalLink12.xml"/><Relationship Id="rId25" Type="http://schemas.openxmlformats.org/officeDocument/2006/relationships/externalLink" Target="externalLinks/externalLink20.xml"/><Relationship Id="rId33" Type="http://schemas.openxmlformats.org/officeDocument/2006/relationships/externalLink" Target="externalLinks/externalLink28.xml"/><Relationship Id="rId38" Type="http://schemas.openxmlformats.org/officeDocument/2006/relationships/externalLink" Target="externalLinks/externalLink3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1.xml"/><Relationship Id="rId20" Type="http://schemas.openxmlformats.org/officeDocument/2006/relationships/externalLink" Target="externalLinks/externalLink15.xml"/><Relationship Id="rId29" Type="http://schemas.openxmlformats.org/officeDocument/2006/relationships/externalLink" Target="externalLinks/externalLink24.xml"/><Relationship Id="rId41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externalLink" Target="externalLinks/externalLink6.xml"/><Relationship Id="rId24" Type="http://schemas.openxmlformats.org/officeDocument/2006/relationships/externalLink" Target="externalLinks/externalLink19.xml"/><Relationship Id="rId32" Type="http://schemas.openxmlformats.org/officeDocument/2006/relationships/externalLink" Target="externalLinks/externalLink27.xml"/><Relationship Id="rId37" Type="http://schemas.openxmlformats.org/officeDocument/2006/relationships/externalLink" Target="externalLinks/externalLink32.xml"/><Relationship Id="rId40" Type="http://schemas.openxmlformats.org/officeDocument/2006/relationships/externalLink" Target="externalLinks/externalLink3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0.xml"/><Relationship Id="rId23" Type="http://schemas.openxmlformats.org/officeDocument/2006/relationships/externalLink" Target="externalLinks/externalLink18.xml"/><Relationship Id="rId28" Type="http://schemas.openxmlformats.org/officeDocument/2006/relationships/externalLink" Target="externalLinks/externalLink23.xml"/><Relationship Id="rId36" Type="http://schemas.openxmlformats.org/officeDocument/2006/relationships/externalLink" Target="externalLinks/externalLink31.xml"/><Relationship Id="rId10" Type="http://schemas.openxmlformats.org/officeDocument/2006/relationships/externalLink" Target="externalLinks/externalLink5.xml"/><Relationship Id="rId19" Type="http://schemas.openxmlformats.org/officeDocument/2006/relationships/externalLink" Target="externalLinks/externalLink14.xml"/><Relationship Id="rId31" Type="http://schemas.openxmlformats.org/officeDocument/2006/relationships/externalLink" Target="externalLinks/externalLink26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4.xml"/><Relationship Id="rId14" Type="http://schemas.openxmlformats.org/officeDocument/2006/relationships/externalLink" Target="externalLinks/externalLink9.xml"/><Relationship Id="rId22" Type="http://schemas.openxmlformats.org/officeDocument/2006/relationships/externalLink" Target="externalLinks/externalLink17.xml"/><Relationship Id="rId27" Type="http://schemas.openxmlformats.org/officeDocument/2006/relationships/externalLink" Target="externalLinks/externalLink22.xml"/><Relationship Id="rId30" Type="http://schemas.openxmlformats.org/officeDocument/2006/relationships/externalLink" Target="externalLinks/externalLink25.xml"/><Relationship Id="rId35" Type="http://schemas.openxmlformats.org/officeDocument/2006/relationships/externalLink" Target="externalLinks/externalLink30.xml"/><Relationship Id="rId43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riadna\Sum_pok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Лист2"/>
      <sheetName val="ПЛАН ЗАКУПІВЕЛЬ 2018"/>
      <sheetName val="Аркуш2"/>
      <sheetName val="MPPZ"/>
      <sheetName val="адмін_(2)"/>
      <sheetName val="9m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/>
      <sheetData sheetId="11" refreshError="1"/>
      <sheetData sheetId="12" refreshError="1"/>
      <sheetData sheetId="13"/>
      <sheetData sheetId="1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  <sheetName val="Inform"/>
      <sheetName val="L4"/>
      <sheetName val="L10"/>
      <sheetName val="KOEF"/>
      <sheetName val="База"/>
      <sheetName val="7  Інші витрати"/>
      <sheetName val="ОСВ МСФ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база  "/>
      <sheetName val="Links"/>
      <sheetName val="Lead"/>
      <sheetName val="МТР_Газ_України"/>
      <sheetName val="МТР_все_2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i"/>
      <sheetName val="Setup"/>
      <sheetName val="200"/>
      <sheetName val="1993"/>
      <sheetName val="Inform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gdp"/>
      <sheetName val="1993"/>
      <sheetName val="Додаток 3"/>
      <sheetName val="Ener_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 refreshError="1"/>
      <sheetData sheetId="27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gdp"/>
      <sheetName val="до викупа"/>
      <sheetName val="Лист1"/>
      <sheetName val="банк"/>
      <sheetName val="дез"/>
      <sheetName val="связь"/>
      <sheetName val="компод"/>
      <sheetName val="пож"/>
      <sheetName val="проезд"/>
      <sheetName val="страх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7  інші витрати"/>
      <sheetName val="Ener "/>
      <sheetName val="gdp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рік"/>
      <sheetName val="1993"/>
      <sheetName val="7  інші витрати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</sheetNames>
    <sheetDataSet>
      <sheetData sheetId="0"/>
      <sheetData sheetId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dzo.com.ua/tenders/20078403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dzo.com.ua/tenders/2007840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1:R251"/>
  <sheetViews>
    <sheetView tabSelected="1" view="pageBreakPreview" zoomScale="60" zoomScaleNormal="75" workbookViewId="0">
      <selection activeCell="R7" sqref="R7"/>
    </sheetView>
  </sheetViews>
  <sheetFormatPr defaultRowHeight="20.25"/>
  <cols>
    <col min="1" max="1" width="65.42578125" style="111" customWidth="1"/>
    <col min="2" max="2" width="17.28515625" style="217" customWidth="1"/>
    <col min="3" max="4" width="18" style="217" customWidth="1"/>
    <col min="5" max="5" width="18.7109375" style="111" customWidth="1"/>
    <col min="6" max="6" width="19" style="111" customWidth="1"/>
    <col min="7" max="7" width="18.7109375" style="111" customWidth="1"/>
    <col min="8" max="8" width="19.7109375" style="111" customWidth="1"/>
    <col min="9" max="9" width="22.85546875" style="127" customWidth="1"/>
    <col min="10" max="10" width="18.85546875" style="111" customWidth="1"/>
    <col min="11" max="11" width="17.42578125" style="111" customWidth="1"/>
    <col min="12" max="12" width="13.85546875" style="111" customWidth="1"/>
    <col min="13" max="13" width="17" style="111" customWidth="1"/>
    <col min="14" max="16" width="9.140625" style="111"/>
    <col min="17" max="17" width="11.42578125" style="111" bestFit="1" customWidth="1"/>
    <col min="18" max="18" width="18.5703125" style="111" customWidth="1"/>
    <col min="19" max="16384" width="9.140625" style="111"/>
  </cols>
  <sheetData>
    <row r="1" spans="1:10" ht="111" customHeight="1">
      <c r="A1" s="243" t="s">
        <v>458</v>
      </c>
      <c r="B1" s="242"/>
      <c r="C1" s="242"/>
      <c r="D1" s="242"/>
      <c r="E1" s="242"/>
      <c r="F1" s="242"/>
      <c r="G1" s="242"/>
      <c r="H1" s="242"/>
    </row>
    <row r="2" spans="1:10" ht="30" customHeight="1">
      <c r="A2" s="242" t="s">
        <v>18</v>
      </c>
      <c r="B2" s="242"/>
      <c r="C2" s="242"/>
      <c r="D2" s="242"/>
      <c r="E2" s="242"/>
      <c r="F2" s="242"/>
      <c r="G2" s="242"/>
      <c r="H2" s="242"/>
    </row>
    <row r="3" spans="1:10" ht="23.25" customHeight="1">
      <c r="B3" s="218"/>
      <c r="C3" s="230"/>
      <c r="D3" s="218"/>
      <c r="E3" s="218"/>
      <c r="F3" s="218"/>
      <c r="G3" s="218"/>
      <c r="H3" s="123" t="s">
        <v>57</v>
      </c>
    </row>
    <row r="4" spans="1:10" ht="75.75" customHeight="1">
      <c r="A4" s="239" t="s">
        <v>23</v>
      </c>
      <c r="B4" s="238" t="s">
        <v>5</v>
      </c>
      <c r="C4" s="238" t="s">
        <v>120</v>
      </c>
      <c r="D4" s="238"/>
      <c r="E4" s="239" t="s">
        <v>313</v>
      </c>
      <c r="F4" s="239"/>
      <c r="G4" s="239"/>
      <c r="H4" s="239"/>
    </row>
    <row r="5" spans="1:10" ht="47.25" customHeight="1">
      <c r="A5" s="239"/>
      <c r="B5" s="238"/>
      <c r="C5" s="216" t="s">
        <v>311</v>
      </c>
      <c r="D5" s="216" t="s">
        <v>312</v>
      </c>
      <c r="E5" s="124" t="s">
        <v>106</v>
      </c>
      <c r="F5" s="124" t="s">
        <v>107</v>
      </c>
      <c r="G5" s="124" t="s">
        <v>108</v>
      </c>
      <c r="H5" s="124" t="s">
        <v>109</v>
      </c>
    </row>
    <row r="6" spans="1:10" ht="29.25" customHeight="1">
      <c r="A6" s="215">
        <v>1</v>
      </c>
      <c r="B6" s="216">
        <v>2</v>
      </c>
      <c r="C6" s="216">
        <v>3</v>
      </c>
      <c r="D6" s="216">
        <v>5</v>
      </c>
      <c r="E6" s="216">
        <v>7</v>
      </c>
      <c r="F6" s="216">
        <v>8</v>
      </c>
      <c r="G6" s="216">
        <v>9</v>
      </c>
      <c r="H6" s="216">
        <v>10</v>
      </c>
    </row>
    <row r="7" spans="1:10" ht="33" customHeight="1">
      <c r="A7" s="244" t="s">
        <v>98</v>
      </c>
      <c r="B7" s="244"/>
      <c r="C7" s="244"/>
      <c r="D7" s="244"/>
      <c r="E7" s="244"/>
      <c r="F7" s="244"/>
      <c r="G7" s="244"/>
      <c r="H7" s="244"/>
    </row>
    <row r="8" spans="1:10" ht="48.75" customHeight="1">
      <c r="A8" s="125" t="s">
        <v>121</v>
      </c>
      <c r="B8" s="126">
        <v>1000</v>
      </c>
      <c r="C8" s="98">
        <v>49247</v>
      </c>
      <c r="D8" s="98">
        <v>77984.100000000006</v>
      </c>
      <c r="E8" s="98">
        <v>68630.5</v>
      </c>
      <c r="F8" s="98">
        <f>D8</f>
        <v>77984.100000000006</v>
      </c>
      <c r="G8" s="98">
        <f>F8-E8</f>
        <v>9353.6000000000058</v>
      </c>
      <c r="H8" s="98">
        <f>(F8/E8)*100</f>
        <v>113.62892591486293</v>
      </c>
      <c r="J8" s="127"/>
    </row>
    <row r="9" spans="1:10" ht="47.25" customHeight="1">
      <c r="A9" s="125" t="s">
        <v>67</v>
      </c>
      <c r="B9" s="126">
        <v>1010</v>
      </c>
      <c r="C9" s="98">
        <f>SUM(C10:C14)</f>
        <v>-58039</v>
      </c>
      <c r="D9" s="98">
        <f>SUM(D10:D14)</f>
        <v>-79847.3</v>
      </c>
      <c r="E9" s="98">
        <f>SUM(E10:E14)</f>
        <v>-73858.600000000006</v>
      </c>
      <c r="F9" s="98">
        <f t="shared" ref="F9:F43" si="0">D9</f>
        <v>-79847.3</v>
      </c>
      <c r="G9" s="98">
        <f t="shared" ref="G9:G43" si="1">F9-E9</f>
        <v>-5988.6999999999971</v>
      </c>
      <c r="H9" s="98">
        <f t="shared" ref="H9:H43" si="2">(F9/E9)*100</f>
        <v>108.10833132499127</v>
      </c>
      <c r="J9" s="127"/>
    </row>
    <row r="10" spans="1:10" ht="30" customHeight="1">
      <c r="A10" s="128" t="s">
        <v>68</v>
      </c>
      <c r="B10" s="215">
        <v>1011</v>
      </c>
      <c r="C10" s="129">
        <v>-13154.5</v>
      </c>
      <c r="D10" s="129">
        <v>-15595.9</v>
      </c>
      <c r="E10" s="129">
        <v>-12540</v>
      </c>
      <c r="F10" s="98">
        <f t="shared" si="0"/>
        <v>-15595.9</v>
      </c>
      <c r="G10" s="129">
        <f t="shared" si="1"/>
        <v>-3055.8999999999996</v>
      </c>
      <c r="H10" s="129">
        <f t="shared" si="2"/>
        <v>124.36921850079744</v>
      </c>
      <c r="J10" s="127"/>
    </row>
    <row r="11" spans="1:10" ht="28.5" customHeight="1">
      <c r="A11" s="128" t="s">
        <v>2</v>
      </c>
      <c r="B11" s="215">
        <v>1012</v>
      </c>
      <c r="C11" s="129">
        <v>-30616.3</v>
      </c>
      <c r="D11" s="129">
        <v>-44258.6</v>
      </c>
      <c r="E11" s="129">
        <v>-41482</v>
      </c>
      <c r="F11" s="98">
        <f t="shared" si="0"/>
        <v>-44258.6</v>
      </c>
      <c r="G11" s="129">
        <f t="shared" si="1"/>
        <v>-2776.5999999999985</v>
      </c>
      <c r="H11" s="129">
        <f t="shared" si="2"/>
        <v>106.69350561689409</v>
      </c>
      <c r="J11" s="127"/>
    </row>
    <row r="12" spans="1:10" ht="29.25" customHeight="1">
      <c r="A12" s="128" t="s">
        <v>3</v>
      </c>
      <c r="B12" s="215">
        <v>1013</v>
      </c>
      <c r="C12" s="129">
        <v>-6577.2</v>
      </c>
      <c r="D12" s="129">
        <v>-9299</v>
      </c>
      <c r="E12" s="129">
        <v>-9043.4</v>
      </c>
      <c r="F12" s="98">
        <f t="shared" si="0"/>
        <v>-9299</v>
      </c>
      <c r="G12" s="129">
        <f t="shared" si="1"/>
        <v>-255.60000000000036</v>
      </c>
      <c r="H12" s="129">
        <f t="shared" si="2"/>
        <v>102.8263706128226</v>
      </c>
      <c r="J12" s="127"/>
    </row>
    <row r="13" spans="1:10" ht="29.25" customHeight="1">
      <c r="A13" s="128" t="s">
        <v>4</v>
      </c>
      <c r="B13" s="215">
        <v>1014</v>
      </c>
      <c r="C13" s="129">
        <v>-2759.7</v>
      </c>
      <c r="D13" s="129">
        <v>-3416.5</v>
      </c>
      <c r="E13" s="129">
        <v>-2140</v>
      </c>
      <c r="F13" s="98">
        <f t="shared" si="0"/>
        <v>-3416.5</v>
      </c>
      <c r="G13" s="129">
        <f t="shared" ref="G13" si="3">F13-E13</f>
        <v>-1276.5</v>
      </c>
      <c r="H13" s="129">
        <f t="shared" ref="H13" si="4">(F13/E13)*100</f>
        <v>159.64953271028037</v>
      </c>
      <c r="J13" s="127"/>
    </row>
    <row r="14" spans="1:10" ht="30" customHeight="1">
      <c r="A14" s="128" t="s">
        <v>50</v>
      </c>
      <c r="B14" s="215">
        <v>1015</v>
      </c>
      <c r="C14" s="129">
        <v>-4931.3</v>
      </c>
      <c r="D14" s="129">
        <v>-7277.3</v>
      </c>
      <c r="E14" s="129">
        <v>-8653.2000000000007</v>
      </c>
      <c r="F14" s="98">
        <f t="shared" si="0"/>
        <v>-7277.3</v>
      </c>
      <c r="G14" s="129">
        <f t="shared" si="1"/>
        <v>1375.9000000000005</v>
      </c>
      <c r="H14" s="129">
        <f t="shared" si="2"/>
        <v>84.099523875560479</v>
      </c>
      <c r="J14" s="127"/>
    </row>
    <row r="15" spans="1:10" ht="28.5" customHeight="1">
      <c r="A15" s="125" t="s">
        <v>25</v>
      </c>
      <c r="B15" s="215">
        <v>1020</v>
      </c>
      <c r="C15" s="98">
        <f>SUM(C8:C9)</f>
        <v>-8792</v>
      </c>
      <c r="D15" s="98">
        <f>SUM(D8:D9)</f>
        <v>-1863.1999999999971</v>
      </c>
      <c r="E15" s="98">
        <f>SUM(E8:E9)</f>
        <v>-5228.1000000000058</v>
      </c>
      <c r="F15" s="98">
        <f t="shared" si="0"/>
        <v>-1863.1999999999971</v>
      </c>
      <c r="G15" s="98">
        <f t="shared" si="1"/>
        <v>3364.9000000000087</v>
      </c>
      <c r="H15" s="98">
        <f t="shared" si="2"/>
        <v>35.638185956657196</v>
      </c>
    </row>
    <row r="16" spans="1:10" ht="42" customHeight="1">
      <c r="A16" s="125" t="s">
        <v>89</v>
      </c>
      <c r="B16" s="126">
        <v>1020</v>
      </c>
      <c r="C16" s="98">
        <f>SUM(C17:C21)</f>
        <v>-3445.5000000000005</v>
      </c>
      <c r="D16" s="98">
        <f>SUM(D17:D21)</f>
        <v>-4925.8999999999996</v>
      </c>
      <c r="E16" s="98">
        <f>SUM(E17:E21)</f>
        <v>-5942.1</v>
      </c>
      <c r="F16" s="98">
        <f t="shared" si="0"/>
        <v>-4925.8999999999996</v>
      </c>
      <c r="G16" s="98">
        <f t="shared" si="1"/>
        <v>1016.2000000000007</v>
      </c>
      <c r="H16" s="98">
        <f t="shared" si="2"/>
        <v>82.898301947123059</v>
      </c>
    </row>
    <row r="17" spans="1:8" ht="27.75" customHeight="1">
      <c r="A17" s="128" t="s">
        <v>68</v>
      </c>
      <c r="B17" s="215">
        <v>1021</v>
      </c>
      <c r="C17" s="129">
        <v>-33.9</v>
      </c>
      <c r="D17" s="129">
        <v>-27.6</v>
      </c>
      <c r="E17" s="129">
        <v>-7.6</v>
      </c>
      <c r="F17" s="98">
        <f t="shared" si="0"/>
        <v>-27.6</v>
      </c>
      <c r="G17" s="129">
        <f t="shared" si="1"/>
        <v>-20</v>
      </c>
      <c r="H17" s="129">
        <f t="shared" si="2"/>
        <v>363.15789473684214</v>
      </c>
    </row>
    <row r="18" spans="1:8" ht="27.75" customHeight="1">
      <c r="A18" s="128" t="s">
        <v>2</v>
      </c>
      <c r="B18" s="215">
        <v>1022</v>
      </c>
      <c r="C18" s="129">
        <v>-2308.4</v>
      </c>
      <c r="D18" s="129">
        <v>-2816.8</v>
      </c>
      <c r="E18" s="129">
        <v>-4340.2</v>
      </c>
      <c r="F18" s="98">
        <f t="shared" si="0"/>
        <v>-2816.8</v>
      </c>
      <c r="G18" s="129">
        <f t="shared" si="1"/>
        <v>1523.3999999999996</v>
      </c>
      <c r="H18" s="129">
        <f t="shared" si="2"/>
        <v>64.900235012211425</v>
      </c>
    </row>
    <row r="19" spans="1:8" ht="27.75" customHeight="1">
      <c r="A19" s="128" t="s">
        <v>3</v>
      </c>
      <c r="B19" s="215">
        <v>1023</v>
      </c>
      <c r="C19" s="129">
        <v>-453.9</v>
      </c>
      <c r="D19" s="129">
        <v>-564.1</v>
      </c>
      <c r="E19" s="129">
        <v>-946.2</v>
      </c>
      <c r="F19" s="98">
        <f t="shared" si="0"/>
        <v>-564.1</v>
      </c>
      <c r="G19" s="129">
        <f t="shared" si="1"/>
        <v>382.1</v>
      </c>
      <c r="H19" s="129">
        <f t="shared" si="2"/>
        <v>59.617417036567325</v>
      </c>
    </row>
    <row r="20" spans="1:8" ht="27.75" customHeight="1">
      <c r="A20" s="128" t="s">
        <v>4</v>
      </c>
      <c r="B20" s="215">
        <v>1024</v>
      </c>
      <c r="C20" s="129">
        <v>-154.30000000000001</v>
      </c>
      <c r="D20" s="129">
        <v>-795.2</v>
      </c>
      <c r="E20" s="129">
        <v>-118</v>
      </c>
      <c r="F20" s="98">
        <f t="shared" si="0"/>
        <v>-795.2</v>
      </c>
      <c r="G20" s="130">
        <f t="shared" si="1"/>
        <v>-677.2</v>
      </c>
      <c r="H20" s="130">
        <f t="shared" si="2"/>
        <v>673.89830508474574</v>
      </c>
    </row>
    <row r="21" spans="1:8" ht="27.75" customHeight="1">
      <c r="A21" s="128" t="s">
        <v>69</v>
      </c>
      <c r="B21" s="215">
        <v>1025</v>
      </c>
      <c r="C21" s="129">
        <v>-495</v>
      </c>
      <c r="D21" s="129">
        <v>-722.2</v>
      </c>
      <c r="E21" s="129">
        <v>-530.1</v>
      </c>
      <c r="F21" s="98">
        <f t="shared" si="0"/>
        <v>-722.2</v>
      </c>
      <c r="G21" s="129">
        <f t="shared" si="1"/>
        <v>-192.10000000000002</v>
      </c>
      <c r="H21" s="129">
        <f t="shared" si="2"/>
        <v>136.23844557630636</v>
      </c>
    </row>
    <row r="22" spans="1:8" ht="38.25" customHeight="1">
      <c r="A22" s="125" t="s">
        <v>35</v>
      </c>
      <c r="B22" s="126">
        <v>1040</v>
      </c>
      <c r="C22" s="98">
        <f>SUM(C23:C24)</f>
        <v>12932.1</v>
      </c>
      <c r="D22" s="98">
        <f>SUM(D23:D24)</f>
        <v>12291.2</v>
      </c>
      <c r="E22" s="98">
        <f>SUM(E23:E24)</f>
        <v>8705.4</v>
      </c>
      <c r="F22" s="98">
        <f t="shared" si="0"/>
        <v>12291.2</v>
      </c>
      <c r="G22" s="98">
        <f t="shared" si="1"/>
        <v>3585.8000000000011</v>
      </c>
      <c r="H22" s="98">
        <f t="shared" si="2"/>
        <v>141.19052542100309</v>
      </c>
    </row>
    <row r="23" spans="1:8" ht="30.75" customHeight="1">
      <c r="A23" s="128" t="s">
        <v>36</v>
      </c>
      <c r="B23" s="215">
        <v>1041</v>
      </c>
      <c r="C23" s="129">
        <v>12932.1</v>
      </c>
      <c r="D23" s="129">
        <v>12291.2</v>
      </c>
      <c r="E23" s="129">
        <v>8705.4</v>
      </c>
      <c r="F23" s="98">
        <f t="shared" si="0"/>
        <v>12291.2</v>
      </c>
      <c r="G23" s="129">
        <f t="shared" si="1"/>
        <v>3585.8000000000011</v>
      </c>
      <c r="H23" s="129">
        <f t="shared" si="2"/>
        <v>141.19052542100309</v>
      </c>
    </row>
    <row r="24" spans="1:8" ht="27.75" customHeight="1">
      <c r="A24" s="128" t="s">
        <v>37</v>
      </c>
      <c r="B24" s="215">
        <v>1042</v>
      </c>
      <c r="C24" s="129"/>
      <c r="D24" s="129"/>
      <c r="E24" s="129"/>
      <c r="F24" s="98">
        <f t="shared" si="0"/>
        <v>0</v>
      </c>
      <c r="G24" s="129">
        <f t="shared" si="1"/>
        <v>0</v>
      </c>
      <c r="H24" s="130" t="e">
        <f t="shared" si="2"/>
        <v>#DIV/0!</v>
      </c>
    </row>
    <row r="25" spans="1:8" ht="42.75" customHeight="1">
      <c r="A25" s="125" t="s">
        <v>12</v>
      </c>
      <c r="B25" s="126">
        <v>1030</v>
      </c>
      <c r="C25" s="98">
        <f>SUM(C26:C30)</f>
        <v>-968.3</v>
      </c>
      <c r="D25" s="98">
        <f>SUM(D26:D30)</f>
        <v>-931.69999999999993</v>
      </c>
      <c r="E25" s="98">
        <f>SUM(E26:E30)</f>
        <v>-140.19999999999999</v>
      </c>
      <c r="F25" s="98">
        <f t="shared" si="0"/>
        <v>-931.69999999999993</v>
      </c>
      <c r="G25" s="98">
        <f t="shared" si="1"/>
        <v>-791.5</v>
      </c>
      <c r="H25" s="98">
        <f t="shared" si="2"/>
        <v>664.5506419400856</v>
      </c>
    </row>
    <row r="26" spans="1:8" ht="27.75" customHeight="1">
      <c r="A26" s="128" t="s">
        <v>68</v>
      </c>
      <c r="B26" s="215">
        <v>1031</v>
      </c>
      <c r="C26" s="129"/>
      <c r="D26" s="129">
        <v>0</v>
      </c>
      <c r="E26" s="129"/>
      <c r="F26" s="98">
        <f t="shared" si="0"/>
        <v>0</v>
      </c>
      <c r="G26" s="130">
        <f t="shared" si="1"/>
        <v>0</v>
      </c>
      <c r="H26" s="130" t="e">
        <f t="shared" si="2"/>
        <v>#DIV/0!</v>
      </c>
    </row>
    <row r="27" spans="1:8" ht="27.75" customHeight="1">
      <c r="A27" s="128" t="s">
        <v>2</v>
      </c>
      <c r="B27" s="215">
        <v>1032</v>
      </c>
      <c r="C27" s="129">
        <v>-693.4</v>
      </c>
      <c r="D27" s="129">
        <v>-607</v>
      </c>
      <c r="E27" s="129"/>
      <c r="F27" s="98">
        <f t="shared" si="0"/>
        <v>-607</v>
      </c>
      <c r="G27" s="129">
        <f t="shared" si="1"/>
        <v>-607</v>
      </c>
      <c r="H27" s="130" t="e">
        <f t="shared" si="2"/>
        <v>#DIV/0!</v>
      </c>
    </row>
    <row r="28" spans="1:8" ht="27.75" customHeight="1">
      <c r="A28" s="128" t="s">
        <v>3</v>
      </c>
      <c r="B28" s="215">
        <v>1033</v>
      </c>
      <c r="C28" s="129">
        <v>-161.1</v>
      </c>
      <c r="D28" s="129">
        <v>-224.4</v>
      </c>
      <c r="E28" s="129"/>
      <c r="F28" s="98">
        <f t="shared" si="0"/>
        <v>-224.4</v>
      </c>
      <c r="G28" s="129">
        <f t="shared" si="1"/>
        <v>-224.4</v>
      </c>
      <c r="H28" s="130" t="e">
        <f t="shared" si="2"/>
        <v>#DIV/0!</v>
      </c>
    </row>
    <row r="29" spans="1:8" ht="27.75" customHeight="1">
      <c r="A29" s="128" t="s">
        <v>4</v>
      </c>
      <c r="B29" s="215">
        <v>1034</v>
      </c>
      <c r="C29" s="129"/>
      <c r="D29" s="129"/>
      <c r="E29" s="129"/>
      <c r="F29" s="98">
        <f t="shared" si="0"/>
        <v>0</v>
      </c>
      <c r="G29" s="130">
        <f t="shared" si="1"/>
        <v>0</v>
      </c>
      <c r="H29" s="130" t="e">
        <f t="shared" si="2"/>
        <v>#DIV/0!</v>
      </c>
    </row>
    <row r="30" spans="1:8" ht="27.75" customHeight="1">
      <c r="A30" s="128" t="s">
        <v>70</v>
      </c>
      <c r="B30" s="215">
        <v>1035</v>
      </c>
      <c r="C30" s="129">
        <v>-113.8</v>
      </c>
      <c r="D30" s="129">
        <v>-100.3</v>
      </c>
      <c r="E30" s="129">
        <v>-140.19999999999999</v>
      </c>
      <c r="F30" s="98">
        <f t="shared" si="0"/>
        <v>-100.3</v>
      </c>
      <c r="G30" s="129">
        <f t="shared" si="1"/>
        <v>39.899999999999991</v>
      </c>
      <c r="H30" s="129">
        <f t="shared" si="2"/>
        <v>71.540656205420831</v>
      </c>
    </row>
    <row r="31" spans="1:8" ht="47.25" customHeight="1">
      <c r="A31" s="125" t="s">
        <v>1</v>
      </c>
      <c r="B31" s="215">
        <v>1100</v>
      </c>
      <c r="C31" s="98">
        <f>SUM(C15,C16,C22,C25)</f>
        <v>-273.69999999999959</v>
      </c>
      <c r="D31" s="98">
        <f>SUM(D15,D16,D22,D25)</f>
        <v>4570.4000000000042</v>
      </c>
      <c r="E31" s="98">
        <f>SUM(E15,E16,E22,E25)</f>
        <v>-2605.0000000000064</v>
      </c>
      <c r="F31" s="98">
        <f t="shared" si="0"/>
        <v>4570.4000000000042</v>
      </c>
      <c r="G31" s="98">
        <f t="shared" si="1"/>
        <v>7175.4000000000106</v>
      </c>
      <c r="H31" s="98">
        <f t="shared" si="2"/>
        <v>-175.44721689059475</v>
      </c>
    </row>
    <row r="32" spans="1:8" ht="27.75" customHeight="1">
      <c r="A32" s="125" t="s">
        <v>122</v>
      </c>
      <c r="B32" s="126">
        <v>1130</v>
      </c>
      <c r="C32" s="98">
        <v>95.3</v>
      </c>
      <c r="D32" s="98">
        <v>772.8</v>
      </c>
      <c r="E32" s="98">
        <v>347</v>
      </c>
      <c r="F32" s="98">
        <f t="shared" si="0"/>
        <v>772.8</v>
      </c>
      <c r="G32" s="98">
        <f t="shared" si="1"/>
        <v>425.79999999999995</v>
      </c>
      <c r="H32" s="98">
        <f t="shared" si="2"/>
        <v>222.70893371757924</v>
      </c>
    </row>
    <row r="33" spans="1:11" ht="27.75" customHeight="1">
      <c r="A33" s="131" t="s">
        <v>123</v>
      </c>
      <c r="B33" s="126">
        <v>1140</v>
      </c>
      <c r="C33" s="98" t="s">
        <v>26</v>
      </c>
      <c r="D33" s="98" t="s">
        <v>26</v>
      </c>
      <c r="E33" s="129" t="s">
        <v>26</v>
      </c>
      <c r="F33" s="98" t="str">
        <f t="shared" si="0"/>
        <v>(    )</v>
      </c>
      <c r="G33" s="132" t="e">
        <f t="shared" si="1"/>
        <v>#VALUE!</v>
      </c>
      <c r="H33" s="132" t="e">
        <f t="shared" si="2"/>
        <v>#VALUE!</v>
      </c>
    </row>
    <row r="34" spans="1:11" ht="27.75" customHeight="1">
      <c r="A34" s="125" t="s">
        <v>124</v>
      </c>
      <c r="B34" s="126">
        <v>1150</v>
      </c>
      <c r="C34" s="98">
        <v>2877.7</v>
      </c>
      <c r="D34" s="98">
        <v>3965.7</v>
      </c>
      <c r="E34" s="98">
        <v>2258</v>
      </c>
      <c r="F34" s="98">
        <f t="shared" si="0"/>
        <v>3965.7</v>
      </c>
      <c r="G34" s="98">
        <f t="shared" si="1"/>
        <v>1707.6999999999998</v>
      </c>
      <c r="H34" s="98">
        <f t="shared" si="2"/>
        <v>175.62887511071744</v>
      </c>
    </row>
    <row r="35" spans="1:11" ht="27.75" customHeight="1">
      <c r="A35" s="125" t="s">
        <v>125</v>
      </c>
      <c r="B35" s="126">
        <v>1160</v>
      </c>
      <c r="C35" s="98" t="s">
        <v>26</v>
      </c>
      <c r="D35" s="98" t="s">
        <v>26</v>
      </c>
      <c r="E35" s="129" t="s">
        <v>26</v>
      </c>
      <c r="F35" s="98" t="str">
        <f t="shared" si="0"/>
        <v>(    )</v>
      </c>
      <c r="G35" s="132" t="e">
        <f t="shared" si="1"/>
        <v>#VALUE!</v>
      </c>
      <c r="H35" s="132" t="e">
        <f t="shared" si="2"/>
        <v>#VALUE!</v>
      </c>
    </row>
    <row r="36" spans="1:11" ht="28.5" customHeight="1">
      <c r="A36" s="125" t="s">
        <v>15</v>
      </c>
      <c r="B36" s="126">
        <v>1170</v>
      </c>
      <c r="C36" s="98">
        <f>SUM(C31, C32:C35)</f>
        <v>2699.3</v>
      </c>
      <c r="D36" s="98">
        <f>SUM(D31, D32:D35)</f>
        <v>9308.9000000000051</v>
      </c>
      <c r="E36" s="98">
        <f>SUM(E31, E32:E35)</f>
        <v>-6.3664629124104977E-12</v>
      </c>
      <c r="F36" s="98">
        <f t="shared" si="0"/>
        <v>9308.9000000000051</v>
      </c>
      <c r="G36" s="98">
        <f t="shared" si="1"/>
        <v>9308.9000000000124</v>
      </c>
      <c r="H36" s="132">
        <f t="shared" si="2"/>
        <v>-1.4621776845434304E+17</v>
      </c>
    </row>
    <row r="37" spans="1:11" ht="27.75" customHeight="1">
      <c r="A37" s="131" t="s">
        <v>28</v>
      </c>
      <c r="B37" s="215">
        <v>1180</v>
      </c>
      <c r="C37" s="129" t="s">
        <v>26</v>
      </c>
      <c r="D37" s="129" t="s">
        <v>26</v>
      </c>
      <c r="E37" s="129" t="s">
        <v>26</v>
      </c>
      <c r="F37" s="98" t="str">
        <f t="shared" si="0"/>
        <v>(    )</v>
      </c>
      <c r="G37" s="130" t="e">
        <f t="shared" si="1"/>
        <v>#VALUE!</v>
      </c>
      <c r="H37" s="130" t="e">
        <f t="shared" si="2"/>
        <v>#VALUE!</v>
      </c>
    </row>
    <row r="38" spans="1:11" ht="27" customHeight="1">
      <c r="A38" s="131" t="s">
        <v>29</v>
      </c>
      <c r="B38" s="215">
        <v>1181</v>
      </c>
      <c r="C38" s="129"/>
      <c r="D38" s="129"/>
      <c r="E38" s="129"/>
      <c r="F38" s="98">
        <f>D38</f>
        <v>0</v>
      </c>
      <c r="G38" s="132">
        <f t="shared" si="1"/>
        <v>0</v>
      </c>
      <c r="H38" s="130" t="e">
        <f t="shared" si="2"/>
        <v>#DIV/0!</v>
      </c>
    </row>
    <row r="39" spans="1:11" ht="28.5" customHeight="1">
      <c r="A39" s="125" t="s">
        <v>46</v>
      </c>
      <c r="B39" s="215">
        <v>1200</v>
      </c>
      <c r="C39" s="98">
        <f>SUM(C36:C38)</f>
        <v>2699.3</v>
      </c>
      <c r="D39" s="98">
        <f>SUM(D36:D38)</f>
        <v>9308.9000000000051</v>
      </c>
      <c r="E39" s="98">
        <f>SUM(E36:E38)</f>
        <v>-6.3664629124104977E-12</v>
      </c>
      <c r="F39" s="98">
        <f t="shared" si="0"/>
        <v>9308.9000000000051</v>
      </c>
      <c r="G39" s="98">
        <f t="shared" si="1"/>
        <v>9308.9000000000124</v>
      </c>
      <c r="H39" s="132">
        <f t="shared" si="2"/>
        <v>-1.4621776845434304E+17</v>
      </c>
    </row>
    <row r="40" spans="1:11" ht="35.25" customHeight="1">
      <c r="A40" s="131" t="s">
        <v>47</v>
      </c>
      <c r="B40" s="215">
        <v>1201</v>
      </c>
      <c r="C40" s="129"/>
      <c r="D40" s="129"/>
      <c r="E40" s="129"/>
      <c r="F40" s="98">
        <f t="shared" si="0"/>
        <v>0</v>
      </c>
      <c r="G40" s="130">
        <f t="shared" si="1"/>
        <v>0</v>
      </c>
      <c r="H40" s="130" t="e">
        <f t="shared" si="2"/>
        <v>#DIV/0!</v>
      </c>
    </row>
    <row r="41" spans="1:11" ht="33" customHeight="1">
      <c r="A41" s="131" t="s">
        <v>48</v>
      </c>
      <c r="B41" s="215">
        <v>1202</v>
      </c>
      <c r="C41" s="129"/>
      <c r="D41" s="129" t="s">
        <v>26</v>
      </c>
      <c r="E41" s="129" t="s">
        <v>26</v>
      </c>
      <c r="F41" s="98" t="str">
        <f>D41</f>
        <v>(    )</v>
      </c>
      <c r="G41" s="130" t="e">
        <f t="shared" si="1"/>
        <v>#VALUE!</v>
      </c>
      <c r="H41" s="130" t="e">
        <f t="shared" si="2"/>
        <v>#VALUE!</v>
      </c>
      <c r="J41" s="133"/>
    </row>
    <row r="42" spans="1:11" ht="33" customHeight="1">
      <c r="A42" s="125" t="s">
        <v>115</v>
      </c>
      <c r="B42" s="126">
        <v>1210</v>
      </c>
      <c r="C42" s="98">
        <f>SUM(C8,C22,C32,C34,C38)</f>
        <v>65152.1</v>
      </c>
      <c r="D42" s="98">
        <f>SUM(D8,D22,D32,D34,D38)</f>
        <v>95013.8</v>
      </c>
      <c r="E42" s="98">
        <f>SUM(E8,E22,E32,E34,E38)</f>
        <v>79940.899999999994</v>
      </c>
      <c r="F42" s="98">
        <f t="shared" si="0"/>
        <v>95013.8</v>
      </c>
      <c r="G42" s="98">
        <f t="shared" si="1"/>
        <v>15072.900000000009</v>
      </c>
      <c r="H42" s="98">
        <f t="shared" si="2"/>
        <v>118.85505417126905</v>
      </c>
      <c r="J42" s="133"/>
      <c r="K42" s="133"/>
    </row>
    <row r="43" spans="1:11" ht="33" customHeight="1">
      <c r="A43" s="125" t="s">
        <v>116</v>
      </c>
      <c r="B43" s="126">
        <v>1220</v>
      </c>
      <c r="C43" s="98">
        <f>SUM(C9,C16,C25,C33,C35,C37)</f>
        <v>-62452.800000000003</v>
      </c>
      <c r="D43" s="98">
        <f>SUM(D9,D16,D25,D33,D35,D37)</f>
        <v>-85704.9</v>
      </c>
      <c r="E43" s="98">
        <f>SUM(E9,E16,E25,E33,E35,E37)</f>
        <v>-79940.900000000009</v>
      </c>
      <c r="F43" s="98">
        <f t="shared" si="0"/>
        <v>-85704.9</v>
      </c>
      <c r="G43" s="98">
        <f t="shared" si="1"/>
        <v>-5763.9999999999854</v>
      </c>
      <c r="H43" s="98">
        <f t="shared" si="2"/>
        <v>107.21032662879702</v>
      </c>
      <c r="J43" s="133"/>
    </row>
    <row r="44" spans="1:11" ht="33" customHeight="1">
      <c r="A44" s="241" t="s">
        <v>130</v>
      </c>
      <c r="B44" s="241"/>
      <c r="C44" s="241"/>
      <c r="D44" s="241"/>
      <c r="E44" s="241"/>
      <c r="F44" s="241"/>
      <c r="G44" s="241"/>
      <c r="H44" s="241"/>
      <c r="J44" s="133"/>
      <c r="K44" s="133"/>
    </row>
    <row r="45" spans="1:11" ht="33" customHeight="1">
      <c r="A45" s="128" t="s">
        <v>56</v>
      </c>
      <c r="B45" s="216">
        <v>9000</v>
      </c>
      <c r="C45" s="129">
        <v>13188.4</v>
      </c>
      <c r="D45" s="129">
        <v>15623.5</v>
      </c>
      <c r="E45" s="129">
        <v>12547.6</v>
      </c>
      <c r="F45" s="129">
        <f>D45</f>
        <v>15623.5</v>
      </c>
      <c r="G45" s="134">
        <f t="shared" ref="G45:G50" si="5">F45-E45</f>
        <v>3075.8999999999996</v>
      </c>
      <c r="H45" s="134">
        <f t="shared" ref="H45:H50" si="6">(F45/E45)*100</f>
        <v>124.51385125442316</v>
      </c>
    </row>
    <row r="46" spans="1:11" ht="33" customHeight="1">
      <c r="A46" s="128" t="s">
        <v>2</v>
      </c>
      <c r="B46" s="216">
        <v>9010</v>
      </c>
      <c r="C46" s="129">
        <v>33618.1</v>
      </c>
      <c r="D46" s="129">
        <v>47682.400000000001</v>
      </c>
      <c r="E46" s="129">
        <v>45822.2</v>
      </c>
      <c r="F46" s="129">
        <f t="shared" ref="F46:F49" si="7">D46</f>
        <v>47682.400000000001</v>
      </c>
      <c r="G46" s="134">
        <f t="shared" si="5"/>
        <v>1860.2000000000044</v>
      </c>
      <c r="H46" s="134">
        <f t="shared" si="6"/>
        <v>104.05960429660732</v>
      </c>
    </row>
    <row r="47" spans="1:11" ht="33" customHeight="1">
      <c r="A47" s="128" t="s">
        <v>3</v>
      </c>
      <c r="B47" s="216">
        <v>9020</v>
      </c>
      <c r="C47" s="129">
        <v>7192.2</v>
      </c>
      <c r="D47" s="129">
        <v>10087.5</v>
      </c>
      <c r="E47" s="129">
        <v>9989.6</v>
      </c>
      <c r="F47" s="129">
        <f t="shared" si="7"/>
        <v>10087.5</v>
      </c>
      <c r="G47" s="134">
        <f t="shared" si="5"/>
        <v>97.899999999999636</v>
      </c>
      <c r="H47" s="134">
        <f t="shared" si="6"/>
        <v>100.98001921998878</v>
      </c>
    </row>
    <row r="48" spans="1:11" ht="33" customHeight="1">
      <c r="A48" s="128" t="s">
        <v>4</v>
      </c>
      <c r="B48" s="216">
        <v>9030</v>
      </c>
      <c r="C48" s="129">
        <v>2914</v>
      </c>
      <c r="D48" s="129">
        <v>4211.7</v>
      </c>
      <c r="E48" s="129">
        <v>2258</v>
      </c>
      <c r="F48" s="129">
        <f t="shared" si="7"/>
        <v>4211.7</v>
      </c>
      <c r="G48" s="134">
        <f t="shared" si="5"/>
        <v>1953.6999999999998</v>
      </c>
      <c r="H48" s="134">
        <f t="shared" si="6"/>
        <v>186.52347209920285</v>
      </c>
    </row>
    <row r="49" spans="1:8" ht="33" customHeight="1">
      <c r="A49" s="128" t="s">
        <v>6</v>
      </c>
      <c r="B49" s="216">
        <v>9040</v>
      </c>
      <c r="C49" s="129">
        <v>5540.1</v>
      </c>
      <c r="D49" s="129">
        <v>8099.8</v>
      </c>
      <c r="E49" s="129">
        <v>9323.5</v>
      </c>
      <c r="F49" s="129">
        <f t="shared" si="7"/>
        <v>8099.8</v>
      </c>
      <c r="G49" s="134">
        <f t="shared" si="5"/>
        <v>-1223.6999999999998</v>
      </c>
      <c r="H49" s="134">
        <f t="shared" si="6"/>
        <v>86.875100552367684</v>
      </c>
    </row>
    <row r="50" spans="1:8" ht="33" customHeight="1">
      <c r="A50" s="135" t="s">
        <v>9</v>
      </c>
      <c r="B50" s="214">
        <v>9050</v>
      </c>
      <c r="C50" s="98">
        <f>SUM(C45:C49)</f>
        <v>62452.799999999996</v>
      </c>
      <c r="D50" s="98">
        <f>SUM(D45:D49)</f>
        <v>85704.9</v>
      </c>
      <c r="E50" s="98">
        <f>SUM(E45:E49)</f>
        <v>79940.899999999994</v>
      </c>
      <c r="F50" s="98">
        <f>SUM(F45:F49)</f>
        <v>85704.9</v>
      </c>
      <c r="G50" s="136">
        <f t="shared" si="5"/>
        <v>5764</v>
      </c>
      <c r="H50" s="136">
        <f t="shared" si="6"/>
        <v>107.21032662879702</v>
      </c>
    </row>
    <row r="51" spans="1:8" ht="33" customHeight="1">
      <c r="A51" s="236" t="s">
        <v>99</v>
      </c>
      <c r="B51" s="236"/>
      <c r="C51" s="236"/>
      <c r="D51" s="236"/>
      <c r="E51" s="236"/>
      <c r="F51" s="236"/>
      <c r="G51" s="236"/>
      <c r="H51" s="236"/>
    </row>
    <row r="52" spans="1:8" ht="69" customHeight="1">
      <c r="A52" s="137" t="s">
        <v>134</v>
      </c>
      <c r="B52" s="126">
        <v>2110</v>
      </c>
      <c r="C52" s="98">
        <f>SUM(C53:C56)</f>
        <v>-578.17149999999992</v>
      </c>
      <c r="D52" s="98">
        <f>SUM(D53:D56)</f>
        <v>-787.63600000000008</v>
      </c>
      <c r="E52" s="98">
        <f>SUM(E53:E56)</f>
        <v>-764.6</v>
      </c>
      <c r="F52" s="98">
        <f>SUM(F53:F56)</f>
        <v>-787.63600000000008</v>
      </c>
      <c r="G52" s="98">
        <f t="shared" ref="G52:G68" si="8">F52-E52</f>
        <v>-23.036000000000058</v>
      </c>
      <c r="H52" s="98">
        <f>(F52/E52)*100</f>
        <v>103.012817159299</v>
      </c>
    </row>
    <row r="53" spans="1:8" ht="44.25" customHeight="1">
      <c r="A53" s="128" t="s">
        <v>53</v>
      </c>
      <c r="B53" s="215">
        <v>2111</v>
      </c>
      <c r="C53" s="129">
        <v>-73.900000000000006</v>
      </c>
      <c r="D53" s="129">
        <v>-72.400000000000006</v>
      </c>
      <c r="E53" s="129">
        <v>-77.2</v>
      </c>
      <c r="F53" s="129">
        <f>D53</f>
        <v>-72.400000000000006</v>
      </c>
      <c r="G53" s="129">
        <f t="shared" si="8"/>
        <v>4.7999999999999972</v>
      </c>
      <c r="H53" s="129">
        <f t="shared" ref="H53:H68" si="9">(F53/E53)*100</f>
        <v>93.782383419689126</v>
      </c>
    </row>
    <row r="54" spans="1:8" ht="48.75" customHeight="1">
      <c r="A54" s="138" t="s">
        <v>54</v>
      </c>
      <c r="B54" s="215">
        <v>2112</v>
      </c>
      <c r="C54" s="129" t="s">
        <v>26</v>
      </c>
      <c r="D54" s="129" t="s">
        <v>26</v>
      </c>
      <c r="E54" s="129"/>
      <c r="F54" s="129" t="s">
        <v>26</v>
      </c>
      <c r="G54" s="130" t="e">
        <f t="shared" si="8"/>
        <v>#VALUE!</v>
      </c>
      <c r="H54" s="130" t="e">
        <f t="shared" si="9"/>
        <v>#VALUE!</v>
      </c>
    </row>
    <row r="55" spans="1:8" ht="28.5" customHeight="1">
      <c r="A55" s="128" t="s">
        <v>61</v>
      </c>
      <c r="B55" s="215">
        <v>2113</v>
      </c>
      <c r="C55" s="129">
        <f>-C46*1.5/100</f>
        <v>-504.27149999999995</v>
      </c>
      <c r="D55" s="129">
        <f>-D46*1.5/100</f>
        <v>-715.2360000000001</v>
      </c>
      <c r="E55" s="129">
        <v>-687.4</v>
      </c>
      <c r="F55" s="129">
        <f>D55</f>
        <v>-715.2360000000001</v>
      </c>
      <c r="G55" s="129">
        <f t="shared" si="8"/>
        <v>-27.836000000000126</v>
      </c>
      <c r="H55" s="129">
        <f t="shared" si="9"/>
        <v>104.04946173988945</v>
      </c>
    </row>
    <row r="56" spans="1:8" ht="33" customHeight="1">
      <c r="A56" s="128" t="s">
        <v>40</v>
      </c>
      <c r="B56" s="215">
        <v>2114</v>
      </c>
      <c r="C56" s="129" t="s">
        <v>26</v>
      </c>
      <c r="D56" s="129" t="s">
        <v>26</v>
      </c>
      <c r="E56" s="129" t="s">
        <v>26</v>
      </c>
      <c r="F56" s="129" t="s">
        <v>26</v>
      </c>
      <c r="G56" s="130" t="e">
        <f t="shared" si="8"/>
        <v>#VALUE!</v>
      </c>
      <c r="H56" s="130" t="e">
        <f t="shared" si="9"/>
        <v>#VALUE!</v>
      </c>
    </row>
    <row r="57" spans="1:8" ht="43.5" customHeight="1">
      <c r="A57" s="139" t="s">
        <v>58</v>
      </c>
      <c r="B57" s="214">
        <v>2120</v>
      </c>
      <c r="C57" s="98">
        <f>SUM(C58:C63)</f>
        <v>-6051.8579999999993</v>
      </c>
      <c r="D57" s="98">
        <f>SUM(D58:D63)</f>
        <v>-8582.8320000000003</v>
      </c>
      <c r="E57" s="98">
        <f>SUM(E58:E63)</f>
        <v>-8248</v>
      </c>
      <c r="F57" s="98">
        <f>SUM(F58:F63)</f>
        <v>-8582.8320000000003</v>
      </c>
      <c r="G57" s="98">
        <f t="shared" si="8"/>
        <v>-334.83200000000033</v>
      </c>
      <c r="H57" s="98">
        <f t="shared" si="9"/>
        <v>104.05955383123182</v>
      </c>
    </row>
    <row r="58" spans="1:8" ht="36" customHeight="1">
      <c r="A58" s="138" t="s">
        <v>38</v>
      </c>
      <c r="B58" s="216">
        <v>2121</v>
      </c>
      <c r="C58" s="129" t="s">
        <v>26</v>
      </c>
      <c r="D58" s="129" t="s">
        <v>26</v>
      </c>
      <c r="E58" s="129" t="s">
        <v>26</v>
      </c>
      <c r="F58" s="129" t="s">
        <v>26</v>
      </c>
      <c r="G58" s="130" t="e">
        <f t="shared" si="8"/>
        <v>#VALUE!</v>
      </c>
      <c r="H58" s="130" t="e">
        <f t="shared" si="9"/>
        <v>#VALUE!</v>
      </c>
    </row>
    <row r="59" spans="1:8" ht="33.75" customHeight="1">
      <c r="A59" s="128" t="s">
        <v>14</v>
      </c>
      <c r="B59" s="216">
        <v>2122</v>
      </c>
      <c r="C59" s="129">
        <f>-C46*18/100</f>
        <v>-6051.2579999999989</v>
      </c>
      <c r="D59" s="129">
        <f>-D46*18/100</f>
        <v>-8582.8320000000003</v>
      </c>
      <c r="E59" s="129">
        <v>-8248</v>
      </c>
      <c r="F59" s="129">
        <f>D59</f>
        <v>-8582.8320000000003</v>
      </c>
      <c r="G59" s="129">
        <f t="shared" si="8"/>
        <v>-334.83200000000033</v>
      </c>
      <c r="H59" s="129">
        <f>(F59/E59)*100</f>
        <v>104.05955383123182</v>
      </c>
    </row>
    <row r="60" spans="1:8" ht="31.5" customHeight="1">
      <c r="A60" s="128" t="s">
        <v>44</v>
      </c>
      <c r="B60" s="216">
        <v>2123</v>
      </c>
      <c r="C60" s="129">
        <v>-0.6</v>
      </c>
      <c r="D60" s="129"/>
      <c r="E60" s="129"/>
      <c r="F60" s="129">
        <f>D60</f>
        <v>0</v>
      </c>
      <c r="G60" s="130">
        <f t="shared" si="8"/>
        <v>0</v>
      </c>
      <c r="H60" s="130" t="e">
        <f t="shared" si="9"/>
        <v>#DIV/0!</v>
      </c>
    </row>
    <row r="61" spans="1:8" ht="31.5" customHeight="1">
      <c r="A61" s="128" t="s">
        <v>45</v>
      </c>
      <c r="B61" s="216">
        <v>2124</v>
      </c>
      <c r="C61" s="129" t="s">
        <v>26</v>
      </c>
      <c r="D61" s="129" t="s">
        <v>26</v>
      </c>
      <c r="E61" s="129" t="s">
        <v>26</v>
      </c>
      <c r="F61" s="129" t="s">
        <v>26</v>
      </c>
      <c r="G61" s="130" t="e">
        <f t="shared" si="8"/>
        <v>#VALUE!</v>
      </c>
      <c r="H61" s="130" t="e">
        <f t="shared" si="9"/>
        <v>#VALUE!</v>
      </c>
    </row>
    <row r="62" spans="1:8" ht="103.5" customHeight="1">
      <c r="A62" s="128" t="s">
        <v>239</v>
      </c>
      <c r="B62" s="216">
        <v>2125</v>
      </c>
      <c r="C62" s="129" t="s">
        <v>26</v>
      </c>
      <c r="D62" s="129" t="s">
        <v>26</v>
      </c>
      <c r="E62" s="129" t="s">
        <v>26</v>
      </c>
      <c r="F62" s="129" t="s">
        <v>26</v>
      </c>
      <c r="G62" s="130" t="e">
        <f t="shared" si="8"/>
        <v>#VALUE!</v>
      </c>
      <c r="H62" s="130" t="e">
        <f t="shared" si="9"/>
        <v>#VALUE!</v>
      </c>
    </row>
    <row r="63" spans="1:8" ht="31.5" customHeight="1">
      <c r="A63" s="128" t="s">
        <v>40</v>
      </c>
      <c r="B63" s="216">
        <v>2126</v>
      </c>
      <c r="C63" s="129" t="s">
        <v>26</v>
      </c>
      <c r="D63" s="129" t="s">
        <v>26</v>
      </c>
      <c r="E63" s="129" t="s">
        <v>26</v>
      </c>
      <c r="F63" s="129" t="s">
        <v>26</v>
      </c>
      <c r="G63" s="130" t="e">
        <f t="shared" si="8"/>
        <v>#VALUE!</v>
      </c>
      <c r="H63" s="130" t="e">
        <f t="shared" si="9"/>
        <v>#VALUE!</v>
      </c>
    </row>
    <row r="64" spans="1:8" ht="48" customHeight="1">
      <c r="A64" s="137" t="s">
        <v>59</v>
      </c>
      <c r="B64" s="214">
        <v>2130</v>
      </c>
      <c r="C64" s="98">
        <f>SUM(C65:C67)</f>
        <v>-7310.8</v>
      </c>
      <c r="D64" s="98">
        <f>SUM(D65:D67)</f>
        <v>-10219.1</v>
      </c>
      <c r="E64" s="98">
        <f>SUM(E65:E67)</f>
        <v>-10113.800000000001</v>
      </c>
      <c r="F64" s="98">
        <f>SUM(F65:F67)</f>
        <v>-10219.1</v>
      </c>
      <c r="G64" s="98">
        <f t="shared" si="8"/>
        <v>-105.29999999999927</v>
      </c>
      <c r="H64" s="98">
        <f t="shared" si="9"/>
        <v>101.04115169372541</v>
      </c>
    </row>
    <row r="65" spans="1:9" ht="33" customHeight="1">
      <c r="A65" s="128" t="s">
        <v>41</v>
      </c>
      <c r="B65" s="216">
        <v>2131</v>
      </c>
      <c r="C65" s="129" t="s">
        <v>26</v>
      </c>
      <c r="D65" s="129" t="s">
        <v>26</v>
      </c>
      <c r="E65" s="129" t="s">
        <v>26</v>
      </c>
      <c r="F65" s="129" t="s">
        <v>26</v>
      </c>
      <c r="G65" s="130" t="e">
        <f t="shared" si="8"/>
        <v>#VALUE!</v>
      </c>
      <c r="H65" s="130" t="e">
        <f t="shared" si="9"/>
        <v>#VALUE!</v>
      </c>
    </row>
    <row r="66" spans="1:9" ht="44.25" customHeight="1">
      <c r="A66" s="128" t="s">
        <v>42</v>
      </c>
      <c r="B66" s="216">
        <v>2132</v>
      </c>
      <c r="C66" s="129">
        <f>-C47</f>
        <v>-7192.2</v>
      </c>
      <c r="D66" s="129">
        <f t="shared" ref="D66:F66" si="10">-D47</f>
        <v>-10087.5</v>
      </c>
      <c r="E66" s="129">
        <f t="shared" si="10"/>
        <v>-9989.6</v>
      </c>
      <c r="F66" s="129">
        <f t="shared" si="10"/>
        <v>-10087.5</v>
      </c>
      <c r="G66" s="129">
        <f>F66-E66</f>
        <v>-97.899999999999636</v>
      </c>
      <c r="H66" s="129">
        <f t="shared" si="9"/>
        <v>100.98001921998878</v>
      </c>
    </row>
    <row r="67" spans="1:9" ht="35.25" customHeight="1">
      <c r="A67" s="128" t="s">
        <v>43</v>
      </c>
      <c r="B67" s="216">
        <v>2133</v>
      </c>
      <c r="C67" s="129">
        <v>-118.6</v>
      </c>
      <c r="D67" s="129">
        <v>-131.6</v>
      </c>
      <c r="E67" s="129">
        <v>-124.2</v>
      </c>
      <c r="F67" s="129">
        <f>D67</f>
        <v>-131.6</v>
      </c>
      <c r="G67" s="129">
        <f t="shared" si="8"/>
        <v>-7.3999999999999915</v>
      </c>
      <c r="H67" s="129">
        <f t="shared" si="9"/>
        <v>105.95813204508855</v>
      </c>
      <c r="I67" s="127" t="s">
        <v>427</v>
      </c>
    </row>
    <row r="68" spans="1:9" ht="30.75" customHeight="1">
      <c r="A68" s="139" t="s">
        <v>55</v>
      </c>
      <c r="B68" s="214">
        <v>2200</v>
      </c>
      <c r="C68" s="98">
        <f>SUM(C52+C57+C64)</f>
        <v>-13940.8295</v>
      </c>
      <c r="D68" s="98">
        <f>SUM(D52+D57+D64)</f>
        <v>-19589.567999999999</v>
      </c>
      <c r="E68" s="98">
        <f>SUM(E52+E57+E64)</f>
        <v>-19126.400000000001</v>
      </c>
      <c r="F68" s="98">
        <f>SUM(F52+F57+F64)</f>
        <v>-19589.567999999999</v>
      </c>
      <c r="G68" s="98">
        <f t="shared" si="8"/>
        <v>-463.16799999999785</v>
      </c>
      <c r="H68" s="98">
        <f t="shared" si="9"/>
        <v>102.42161619541574</v>
      </c>
    </row>
    <row r="69" spans="1:9" ht="33" customHeight="1">
      <c r="A69" s="237" t="s">
        <v>100</v>
      </c>
      <c r="B69" s="237"/>
      <c r="C69" s="237"/>
      <c r="D69" s="237"/>
      <c r="E69" s="237"/>
      <c r="F69" s="237"/>
      <c r="G69" s="237"/>
      <c r="H69" s="237"/>
    </row>
    <row r="70" spans="1:9" ht="27.75" customHeight="1">
      <c r="A70" s="125" t="s">
        <v>19</v>
      </c>
      <c r="B70" s="126">
        <v>4000</v>
      </c>
      <c r="C70" s="98">
        <f>SUM(C71:C77)</f>
        <v>-2742.7</v>
      </c>
      <c r="D70" s="98">
        <f>SUM(D71:D77)</f>
        <v>-17862.800000000003</v>
      </c>
      <c r="E70" s="98">
        <f>SUM(E71:E77)</f>
        <v>-4405.3999999999996</v>
      </c>
      <c r="F70" s="98">
        <f>SUM(F71:F77)</f>
        <v>-17862.800000000003</v>
      </c>
      <c r="G70" s="98">
        <f>F70-E70</f>
        <v>-13457.400000000003</v>
      </c>
      <c r="H70" s="98">
        <f>(F70/E70)*100</f>
        <v>405.47509874245253</v>
      </c>
    </row>
    <row r="71" spans="1:9" ht="37.5" customHeight="1">
      <c r="A71" s="128" t="s">
        <v>62</v>
      </c>
      <c r="B71" s="215">
        <v>4010</v>
      </c>
      <c r="C71" s="129" t="s">
        <v>26</v>
      </c>
      <c r="D71" s="129" t="s">
        <v>26</v>
      </c>
      <c r="E71" s="129" t="s">
        <v>26</v>
      </c>
      <c r="F71" s="129" t="s">
        <v>26</v>
      </c>
      <c r="G71" s="130" t="e">
        <f t="shared" ref="G71:G77" si="11">F71-E71</f>
        <v>#VALUE!</v>
      </c>
      <c r="H71" s="130" t="e">
        <f t="shared" ref="H71:H77" si="12">(F71/E71)*100</f>
        <v>#VALUE!</v>
      </c>
    </row>
    <row r="72" spans="1:9" ht="48.75" customHeight="1">
      <c r="A72" s="128" t="s">
        <v>126</v>
      </c>
      <c r="B72" s="215">
        <v>4020</v>
      </c>
      <c r="C72" s="129">
        <v>-2044.8</v>
      </c>
      <c r="D72" s="129">
        <v>-7034.1</v>
      </c>
      <c r="E72" s="129">
        <v>-1816.2</v>
      </c>
      <c r="F72" s="129">
        <f>D72</f>
        <v>-7034.1</v>
      </c>
      <c r="G72" s="129">
        <f t="shared" si="11"/>
        <v>-5217.9000000000005</v>
      </c>
      <c r="H72" s="130">
        <f t="shared" si="12"/>
        <v>387.29765444334328</v>
      </c>
    </row>
    <row r="73" spans="1:9" ht="48.75" customHeight="1">
      <c r="A73" s="128" t="s">
        <v>71</v>
      </c>
      <c r="B73" s="215">
        <v>4030</v>
      </c>
      <c r="C73" s="129">
        <v>-453.9</v>
      </c>
      <c r="D73" s="129">
        <v>-218.7</v>
      </c>
      <c r="E73" s="129"/>
      <c r="F73" s="129">
        <f>D73</f>
        <v>-218.7</v>
      </c>
      <c r="G73" s="129">
        <f t="shared" si="11"/>
        <v>-218.7</v>
      </c>
      <c r="H73" s="130" t="e">
        <f t="shared" si="12"/>
        <v>#DIV/0!</v>
      </c>
    </row>
    <row r="74" spans="1:9" ht="49.5" customHeight="1">
      <c r="A74" s="128" t="s">
        <v>127</v>
      </c>
      <c r="B74" s="215">
        <v>4040</v>
      </c>
      <c r="C74" s="129" t="s">
        <v>26</v>
      </c>
      <c r="D74" s="129" t="s">
        <v>26</v>
      </c>
      <c r="E74" s="129" t="s">
        <v>26</v>
      </c>
      <c r="F74" s="129" t="s">
        <v>26</v>
      </c>
      <c r="G74" s="130" t="e">
        <f t="shared" si="11"/>
        <v>#VALUE!</v>
      </c>
      <c r="H74" s="130" t="e">
        <f t="shared" si="12"/>
        <v>#VALUE!</v>
      </c>
    </row>
    <row r="75" spans="1:9" ht="73.5" customHeight="1">
      <c r="A75" s="128" t="s">
        <v>63</v>
      </c>
      <c r="B75" s="215">
        <v>4050</v>
      </c>
      <c r="C75" s="129" t="s">
        <v>26</v>
      </c>
      <c r="D75" s="129">
        <v>-1649.8</v>
      </c>
      <c r="E75" s="129">
        <v>-2589.1999999999998</v>
      </c>
      <c r="F75" s="129">
        <f>D75</f>
        <v>-1649.8</v>
      </c>
      <c r="G75" s="130">
        <f t="shared" si="11"/>
        <v>939.39999999999986</v>
      </c>
      <c r="H75" s="130">
        <f t="shared" si="12"/>
        <v>63.718523095936973</v>
      </c>
    </row>
    <row r="76" spans="1:9" ht="36.75" customHeight="1">
      <c r="A76" s="128" t="s">
        <v>64</v>
      </c>
      <c r="B76" s="215">
        <v>4060</v>
      </c>
      <c r="C76" s="129">
        <v>-244</v>
      </c>
      <c r="D76" s="129">
        <f>-10610+1649.8</f>
        <v>-8960.2000000000007</v>
      </c>
      <c r="E76" s="129"/>
      <c r="F76" s="129">
        <f>D76</f>
        <v>-8960.2000000000007</v>
      </c>
      <c r="G76" s="130">
        <f t="shared" si="11"/>
        <v>-8960.2000000000007</v>
      </c>
      <c r="H76" s="130" t="e">
        <f t="shared" si="12"/>
        <v>#DIV/0!</v>
      </c>
    </row>
    <row r="77" spans="1:9" ht="39.75" customHeight="1">
      <c r="A77" s="128" t="s">
        <v>50</v>
      </c>
      <c r="B77" s="215">
        <v>4070</v>
      </c>
      <c r="C77" s="129" t="s">
        <v>26</v>
      </c>
      <c r="D77" s="129" t="s">
        <v>26</v>
      </c>
      <c r="E77" s="129" t="s">
        <v>26</v>
      </c>
      <c r="F77" s="129" t="s">
        <v>26</v>
      </c>
      <c r="G77" s="130" t="e">
        <f t="shared" si="11"/>
        <v>#VALUE!</v>
      </c>
      <c r="H77" s="130" t="e">
        <f t="shared" si="12"/>
        <v>#VALUE!</v>
      </c>
    </row>
    <row r="78" spans="1:9" ht="36.75" customHeight="1">
      <c r="A78" s="236" t="s">
        <v>101</v>
      </c>
      <c r="B78" s="236"/>
      <c r="C78" s="236"/>
      <c r="D78" s="236"/>
      <c r="E78" s="236"/>
      <c r="F78" s="236"/>
      <c r="G78" s="236"/>
      <c r="H78" s="236"/>
    </row>
    <row r="79" spans="1:9" ht="63" customHeight="1">
      <c r="A79" s="219"/>
      <c r="B79" s="219"/>
      <c r="C79" s="238" t="s">
        <v>120</v>
      </c>
      <c r="D79" s="238"/>
      <c r="E79" s="239" t="s">
        <v>304</v>
      </c>
      <c r="F79" s="239"/>
      <c r="G79" s="239"/>
      <c r="H79" s="239"/>
    </row>
    <row r="80" spans="1:9" ht="45" customHeight="1">
      <c r="A80" s="219"/>
      <c r="B80" s="219"/>
      <c r="C80" s="216" t="s">
        <v>305</v>
      </c>
      <c r="D80" s="216" t="s">
        <v>306</v>
      </c>
      <c r="E80" s="124" t="s">
        <v>106</v>
      </c>
      <c r="F80" s="124" t="s">
        <v>107</v>
      </c>
      <c r="G80" s="124" t="s">
        <v>108</v>
      </c>
      <c r="H80" s="124" t="s">
        <v>109</v>
      </c>
    </row>
    <row r="81" spans="1:18" s="217" customFormat="1" ht="86.25" customHeight="1">
      <c r="A81" s="139" t="s">
        <v>128</v>
      </c>
      <c r="B81" s="140" t="s">
        <v>30</v>
      </c>
      <c r="C81" s="141">
        <f>SUM(C82:C84)</f>
        <v>495</v>
      </c>
      <c r="D81" s="141">
        <f>SUM(D82:D84)</f>
        <v>530</v>
      </c>
      <c r="E81" s="141">
        <f>SUM(E82:E84)</f>
        <v>547</v>
      </c>
      <c r="F81" s="141">
        <v>530</v>
      </c>
      <c r="G81" s="142" t="s">
        <v>129</v>
      </c>
      <c r="H81" s="136" t="s">
        <v>129</v>
      </c>
      <c r="I81" s="181"/>
      <c r="J81" s="143"/>
    </row>
    <row r="82" spans="1:18" ht="27.75" customHeight="1">
      <c r="A82" s="131" t="s">
        <v>21</v>
      </c>
      <c r="B82" s="215" t="s">
        <v>31</v>
      </c>
      <c r="C82" s="144">
        <v>1</v>
      </c>
      <c r="D82" s="144">
        <v>1</v>
      </c>
      <c r="E82" s="144">
        <v>1</v>
      </c>
      <c r="F82" s="144">
        <v>1</v>
      </c>
      <c r="G82" s="145" t="s">
        <v>129</v>
      </c>
      <c r="H82" s="134" t="s">
        <v>129</v>
      </c>
      <c r="K82" s="127"/>
      <c r="L82" s="127"/>
    </row>
    <row r="83" spans="1:18" ht="27.75" customHeight="1">
      <c r="A83" s="131" t="s">
        <v>24</v>
      </c>
      <c r="B83" s="215" t="s">
        <v>32</v>
      </c>
      <c r="C83" s="144">
        <v>42</v>
      </c>
      <c r="D83" s="144">
        <v>51</v>
      </c>
      <c r="E83" s="144">
        <v>51</v>
      </c>
      <c r="F83" s="144">
        <v>51</v>
      </c>
      <c r="G83" s="145" t="s">
        <v>129</v>
      </c>
      <c r="H83" s="134" t="s">
        <v>129</v>
      </c>
      <c r="J83" s="127"/>
      <c r="K83" s="127"/>
      <c r="L83" s="146"/>
    </row>
    <row r="84" spans="1:18" ht="27.75" customHeight="1">
      <c r="A84" s="131" t="s">
        <v>22</v>
      </c>
      <c r="B84" s="215" t="s">
        <v>33</v>
      </c>
      <c r="C84" s="144">
        <v>452</v>
      </c>
      <c r="D84" s="144">
        <v>478</v>
      </c>
      <c r="E84" s="144">
        <v>495</v>
      </c>
      <c r="F84" s="144">
        <v>478</v>
      </c>
      <c r="G84" s="145" t="s">
        <v>129</v>
      </c>
      <c r="H84" s="134" t="s">
        <v>129</v>
      </c>
      <c r="J84" s="127"/>
      <c r="K84" s="127"/>
      <c r="L84" s="146"/>
      <c r="M84" s="147"/>
      <c r="N84" s="148"/>
      <c r="O84" s="149"/>
      <c r="P84" s="149"/>
      <c r="Q84" s="149"/>
      <c r="R84" s="149"/>
    </row>
    <row r="85" spans="1:18" ht="27.75" customHeight="1">
      <c r="A85" s="125" t="s">
        <v>72</v>
      </c>
      <c r="B85" s="126" t="s">
        <v>34</v>
      </c>
      <c r="C85" s="150">
        <f>SUM(C86:C88)</f>
        <v>33618.1</v>
      </c>
      <c r="D85" s="150">
        <f>SUM(D86:D88)</f>
        <v>47682.400000000001</v>
      </c>
      <c r="E85" s="150">
        <f>SUM(E86:E88)</f>
        <v>45822.400000000001</v>
      </c>
      <c r="F85" s="150">
        <f>SUM(F86:F88)</f>
        <v>47682.400000000001</v>
      </c>
      <c r="G85" s="136" t="s">
        <v>129</v>
      </c>
      <c r="H85" s="136" t="s">
        <v>129</v>
      </c>
      <c r="J85" s="127"/>
      <c r="K85" s="127"/>
      <c r="M85" s="151"/>
      <c r="N85" s="152"/>
      <c r="O85" s="153"/>
      <c r="P85" s="153"/>
      <c r="Q85" s="153"/>
      <c r="R85" s="153"/>
    </row>
    <row r="86" spans="1:18" ht="27.75" customHeight="1">
      <c r="A86" s="131" t="s">
        <v>21</v>
      </c>
      <c r="B86" s="215">
        <v>8011</v>
      </c>
      <c r="C86" s="154">
        <v>272.3</v>
      </c>
      <c r="D86" s="155">
        <v>328.7</v>
      </c>
      <c r="E86" s="156">
        <f>720/2</f>
        <v>360</v>
      </c>
      <c r="F86" s="155">
        <f>D86</f>
        <v>328.7</v>
      </c>
      <c r="G86" s="134" t="s">
        <v>129</v>
      </c>
      <c r="H86" s="134" t="s">
        <v>129</v>
      </c>
      <c r="J86" s="127"/>
      <c r="K86" s="127"/>
      <c r="M86" s="151"/>
      <c r="N86" s="152"/>
      <c r="O86" s="153"/>
      <c r="P86" s="153"/>
      <c r="Q86" s="153"/>
      <c r="R86" s="153"/>
    </row>
    <row r="87" spans="1:18" ht="27.75" customHeight="1">
      <c r="A87" s="131" t="s">
        <v>24</v>
      </c>
      <c r="B87" s="215">
        <v>8012</v>
      </c>
      <c r="C87" s="154">
        <v>2410.4</v>
      </c>
      <c r="D87" s="155">
        <v>4486.2</v>
      </c>
      <c r="E87" s="156">
        <f>8640.6/2</f>
        <v>4320.3</v>
      </c>
      <c r="F87" s="155">
        <f>D87</f>
        <v>4486.2</v>
      </c>
      <c r="G87" s="134" t="s">
        <v>129</v>
      </c>
      <c r="H87" s="134" t="s">
        <v>129</v>
      </c>
      <c r="J87" s="127"/>
      <c r="K87" s="127"/>
      <c r="M87" s="151"/>
      <c r="N87" s="152"/>
      <c r="O87" s="153"/>
      <c r="P87" s="153"/>
      <c r="Q87" s="153"/>
      <c r="R87" s="153"/>
    </row>
    <row r="88" spans="1:18" ht="27.75" customHeight="1">
      <c r="A88" s="131" t="s">
        <v>22</v>
      </c>
      <c r="B88" s="215">
        <v>8013</v>
      </c>
      <c r="C88" s="154">
        <v>30935.4</v>
      </c>
      <c r="D88" s="155">
        <v>42867.5</v>
      </c>
      <c r="E88" s="156">
        <f>82284.2/2</f>
        <v>41142.1</v>
      </c>
      <c r="F88" s="155">
        <f>D88</f>
        <v>42867.5</v>
      </c>
      <c r="G88" s="134" t="s">
        <v>129</v>
      </c>
      <c r="H88" s="134" t="s">
        <v>129</v>
      </c>
      <c r="J88" s="127"/>
      <c r="K88" s="127"/>
      <c r="M88" s="157"/>
      <c r="N88" s="158"/>
      <c r="O88" s="159"/>
      <c r="P88" s="159"/>
      <c r="Q88" s="159"/>
      <c r="R88" s="159"/>
    </row>
    <row r="89" spans="1:18" ht="27.75" customHeight="1">
      <c r="A89" s="125" t="s">
        <v>2</v>
      </c>
      <c r="B89" s="126">
        <v>8020</v>
      </c>
      <c r="C89" s="150">
        <f>C46</f>
        <v>33618.1</v>
      </c>
      <c r="D89" s="150">
        <f>D46</f>
        <v>47682.400000000001</v>
      </c>
      <c r="E89" s="160">
        <f>E46</f>
        <v>45822.2</v>
      </c>
      <c r="F89" s="150">
        <f>F46</f>
        <v>47682.400000000001</v>
      </c>
      <c r="G89" s="136" t="s">
        <v>129</v>
      </c>
      <c r="H89" s="136" t="s">
        <v>129</v>
      </c>
      <c r="J89" s="127"/>
      <c r="K89" s="127"/>
      <c r="M89" s="151"/>
      <c r="N89" s="152"/>
      <c r="O89" s="161"/>
      <c r="P89" s="161"/>
      <c r="Q89" s="161"/>
      <c r="R89" s="161"/>
    </row>
    <row r="90" spans="1:18" ht="27.75" customHeight="1">
      <c r="A90" s="131" t="s">
        <v>21</v>
      </c>
      <c r="B90" s="215">
        <v>8021</v>
      </c>
      <c r="C90" s="154">
        <f t="shared" ref="C90:E92" si="13">C86</f>
        <v>272.3</v>
      </c>
      <c r="D90" s="154">
        <f>D86</f>
        <v>328.7</v>
      </c>
      <c r="E90" s="156">
        <f>E86</f>
        <v>360</v>
      </c>
      <c r="F90" s="155">
        <f>D90</f>
        <v>328.7</v>
      </c>
      <c r="G90" s="134" t="s">
        <v>129</v>
      </c>
      <c r="H90" s="134" t="s">
        <v>129</v>
      </c>
      <c r="J90" s="127"/>
      <c r="K90" s="127"/>
      <c r="M90" s="151"/>
      <c r="N90" s="152"/>
      <c r="O90" s="161"/>
      <c r="P90" s="161"/>
      <c r="Q90" s="161"/>
      <c r="R90" s="161"/>
    </row>
    <row r="91" spans="1:18" ht="27.75" customHeight="1">
      <c r="A91" s="131" t="s">
        <v>24</v>
      </c>
      <c r="B91" s="215">
        <v>8022</v>
      </c>
      <c r="C91" s="154">
        <f t="shared" si="13"/>
        <v>2410.4</v>
      </c>
      <c r="D91" s="154">
        <f>D87</f>
        <v>4486.2</v>
      </c>
      <c r="E91" s="156">
        <f t="shared" si="13"/>
        <v>4320.3</v>
      </c>
      <c r="F91" s="155">
        <f>D91</f>
        <v>4486.2</v>
      </c>
      <c r="G91" s="134" t="s">
        <v>129</v>
      </c>
      <c r="H91" s="134" t="s">
        <v>129</v>
      </c>
      <c r="J91" s="127"/>
      <c r="K91" s="146"/>
      <c r="M91" s="151"/>
      <c r="N91" s="152"/>
      <c r="O91" s="161"/>
      <c r="P91" s="161"/>
      <c r="Q91" s="161"/>
      <c r="R91" s="161"/>
    </row>
    <row r="92" spans="1:18" ht="27.75" customHeight="1">
      <c r="A92" s="131" t="s">
        <v>22</v>
      </c>
      <c r="B92" s="215">
        <v>8023</v>
      </c>
      <c r="C92" s="154">
        <f t="shared" si="13"/>
        <v>30935.4</v>
      </c>
      <c r="D92" s="154">
        <f>D88</f>
        <v>42867.5</v>
      </c>
      <c r="E92" s="156">
        <f t="shared" si="13"/>
        <v>41142.1</v>
      </c>
      <c r="F92" s="155">
        <f>D92</f>
        <v>42867.5</v>
      </c>
      <c r="G92" s="134" t="s">
        <v>129</v>
      </c>
      <c r="H92" s="134" t="s">
        <v>129</v>
      </c>
      <c r="J92" s="127"/>
      <c r="M92" s="157"/>
      <c r="N92" s="158"/>
      <c r="O92" s="159"/>
      <c r="P92" s="159"/>
      <c r="Q92" s="159"/>
      <c r="R92" s="159"/>
    </row>
    <row r="93" spans="1:18" s="217" customFormat="1" ht="66" customHeight="1">
      <c r="A93" s="139" t="s">
        <v>49</v>
      </c>
      <c r="B93" s="140" t="s">
        <v>73</v>
      </c>
      <c r="C93" s="141">
        <f t="shared" ref="C93:F96" si="14">(C89/C81)/6*1000</f>
        <v>11319.225589225589</v>
      </c>
      <c r="D93" s="141">
        <f t="shared" si="14"/>
        <v>14994.465408805032</v>
      </c>
      <c r="E93" s="141">
        <f t="shared" si="14"/>
        <v>13961.669713589274</v>
      </c>
      <c r="F93" s="141">
        <f t="shared" si="14"/>
        <v>14994.465408805032</v>
      </c>
      <c r="G93" s="142" t="s">
        <v>129</v>
      </c>
      <c r="H93" s="136" t="s">
        <v>129</v>
      </c>
      <c r="I93" s="181"/>
      <c r="M93" s="151"/>
      <c r="N93" s="152"/>
      <c r="O93" s="161"/>
      <c r="P93" s="161"/>
      <c r="Q93" s="161"/>
      <c r="R93" s="161"/>
    </row>
    <row r="94" spans="1:18" ht="27.75" customHeight="1">
      <c r="A94" s="131" t="s">
        <v>21</v>
      </c>
      <c r="B94" s="215">
        <v>8031</v>
      </c>
      <c r="C94" s="144">
        <f t="shared" si="14"/>
        <v>45383.333333333336</v>
      </c>
      <c r="D94" s="144">
        <f t="shared" si="14"/>
        <v>54783.333333333328</v>
      </c>
      <c r="E94" s="144">
        <f t="shared" si="14"/>
        <v>60000</v>
      </c>
      <c r="F94" s="144">
        <f t="shared" si="14"/>
        <v>54783.333333333328</v>
      </c>
      <c r="G94" s="145" t="s">
        <v>129</v>
      </c>
      <c r="H94" s="134" t="s">
        <v>129</v>
      </c>
      <c r="M94" s="151"/>
      <c r="N94" s="152"/>
      <c r="O94" s="161"/>
      <c r="P94" s="161"/>
      <c r="Q94" s="161"/>
      <c r="R94" s="161"/>
    </row>
    <row r="95" spans="1:18" ht="27.75" customHeight="1">
      <c r="A95" s="131" t="s">
        <v>24</v>
      </c>
      <c r="B95" s="215">
        <v>8032</v>
      </c>
      <c r="C95" s="144">
        <f t="shared" si="14"/>
        <v>9565.0793650793657</v>
      </c>
      <c r="D95" s="144">
        <f t="shared" si="14"/>
        <v>14660.784313725488</v>
      </c>
      <c r="E95" s="144">
        <f t="shared" si="14"/>
        <v>14118.627450980393</v>
      </c>
      <c r="F95" s="144">
        <f t="shared" si="14"/>
        <v>14660.784313725488</v>
      </c>
      <c r="G95" s="145" t="s">
        <v>129</v>
      </c>
      <c r="H95" s="134" t="s">
        <v>129</v>
      </c>
      <c r="M95" s="151"/>
      <c r="N95" s="152"/>
      <c r="O95" s="161"/>
      <c r="P95" s="161"/>
      <c r="Q95" s="161"/>
      <c r="R95" s="161"/>
    </row>
    <row r="96" spans="1:18" ht="27.75" customHeight="1">
      <c r="A96" s="131" t="s">
        <v>22</v>
      </c>
      <c r="B96" s="215">
        <v>8033</v>
      </c>
      <c r="C96" s="144">
        <f t="shared" si="14"/>
        <v>11406.858407079646</v>
      </c>
      <c r="D96" s="144">
        <f t="shared" si="14"/>
        <v>14946.827057182707</v>
      </c>
      <c r="E96" s="144">
        <f t="shared" si="14"/>
        <v>13852.558922558921</v>
      </c>
      <c r="F96" s="144">
        <f t="shared" si="14"/>
        <v>14946.827057182707</v>
      </c>
      <c r="G96" s="145" t="s">
        <v>129</v>
      </c>
      <c r="H96" s="134" t="s">
        <v>129</v>
      </c>
      <c r="M96" s="147"/>
      <c r="N96" s="148"/>
      <c r="O96" s="149"/>
      <c r="P96" s="149"/>
      <c r="Q96" s="149"/>
      <c r="R96" s="149"/>
    </row>
    <row r="97" spans="1:18" s="217" customFormat="1">
      <c r="A97" s="162"/>
      <c r="C97" s="163"/>
      <c r="D97" s="164"/>
      <c r="E97" s="165"/>
      <c r="F97" s="165"/>
      <c r="G97" s="165"/>
      <c r="H97" s="165"/>
      <c r="I97" s="181"/>
      <c r="M97" s="151"/>
      <c r="N97" s="152"/>
      <c r="O97" s="153"/>
      <c r="P97" s="153"/>
      <c r="Q97" s="153"/>
      <c r="R97" s="153"/>
    </row>
    <row r="98" spans="1:18" s="217" customFormat="1">
      <c r="A98" s="162"/>
      <c r="C98" s="163"/>
      <c r="D98" s="164"/>
      <c r="E98" s="165"/>
      <c r="F98" s="165"/>
      <c r="G98" s="165"/>
      <c r="H98" s="165"/>
      <c r="I98" s="181"/>
      <c r="M98" s="151"/>
      <c r="N98" s="152"/>
      <c r="O98" s="153"/>
      <c r="P98" s="153"/>
      <c r="Q98" s="153"/>
      <c r="R98" s="153"/>
    </row>
    <row r="99" spans="1:18" s="217" customFormat="1" ht="28.5" customHeight="1">
      <c r="A99" s="229" t="s">
        <v>211</v>
      </c>
      <c r="B99" s="166"/>
      <c r="C99" s="234"/>
      <c r="D99" s="235"/>
      <c r="E99" s="167"/>
      <c r="F99" s="167"/>
      <c r="G99" s="240" t="s">
        <v>186</v>
      </c>
      <c r="H99" s="240"/>
      <c r="I99" s="182"/>
      <c r="M99" s="151"/>
      <c r="N99" s="152"/>
      <c r="O99" s="153"/>
      <c r="P99" s="153"/>
      <c r="Q99" s="153"/>
      <c r="R99" s="153"/>
    </row>
    <row r="100" spans="1:18" s="217" customFormat="1">
      <c r="A100" s="217" t="s">
        <v>10</v>
      </c>
      <c r="B100" s="111"/>
      <c r="C100" s="232" t="s">
        <v>11</v>
      </c>
      <c r="D100" s="232"/>
      <c r="E100" s="218"/>
      <c r="F100" s="218"/>
      <c r="G100" s="233" t="s">
        <v>16</v>
      </c>
      <c r="H100" s="233"/>
      <c r="I100" s="181"/>
    </row>
    <row r="101" spans="1:18" s="217" customFormat="1">
      <c r="A101" s="168"/>
      <c r="E101" s="111"/>
      <c r="F101" s="111"/>
      <c r="G101" s="111"/>
      <c r="H101" s="111"/>
      <c r="I101" s="181"/>
    </row>
    <row r="102" spans="1:18" s="217" customFormat="1">
      <c r="A102" s="168"/>
      <c r="E102" s="111"/>
      <c r="F102" s="111"/>
      <c r="G102" s="111"/>
      <c r="H102" s="111"/>
      <c r="I102" s="181"/>
    </row>
    <row r="103" spans="1:18" s="217" customFormat="1">
      <c r="A103" s="168"/>
      <c r="E103" s="111"/>
      <c r="F103" s="111"/>
      <c r="G103" s="111"/>
      <c r="H103" s="111"/>
      <c r="I103" s="181"/>
    </row>
    <row r="104" spans="1:18" s="217" customFormat="1">
      <c r="A104" s="168"/>
      <c r="E104" s="111"/>
      <c r="F104" s="111"/>
      <c r="G104" s="111"/>
      <c r="H104" s="111"/>
      <c r="I104" s="181"/>
    </row>
    <row r="105" spans="1:18" s="217" customFormat="1">
      <c r="A105" s="168"/>
      <c r="E105" s="111"/>
      <c r="F105" s="111"/>
      <c r="G105" s="111"/>
      <c r="H105" s="111"/>
      <c r="I105" s="181"/>
    </row>
    <row r="106" spans="1:18" s="217" customFormat="1">
      <c r="A106" s="168"/>
      <c r="E106" s="111"/>
      <c r="F106" s="111"/>
      <c r="G106" s="111"/>
      <c r="H106" s="111"/>
      <c r="I106" s="181"/>
    </row>
    <row r="107" spans="1:18" s="217" customFormat="1">
      <c r="A107" s="168"/>
      <c r="E107" s="111"/>
      <c r="F107" s="111"/>
      <c r="G107" s="111"/>
      <c r="H107" s="111"/>
      <c r="I107" s="181"/>
    </row>
    <row r="108" spans="1:18" s="217" customFormat="1">
      <c r="A108" s="168"/>
      <c r="E108" s="111"/>
      <c r="F108" s="111"/>
      <c r="G108" s="111"/>
      <c r="H108" s="111"/>
      <c r="I108" s="181"/>
    </row>
    <row r="109" spans="1:18" s="217" customFormat="1">
      <c r="A109" s="168"/>
      <c r="E109" s="111"/>
      <c r="F109" s="111"/>
      <c r="G109" s="111"/>
      <c r="H109" s="111"/>
      <c r="I109" s="181"/>
    </row>
    <row r="110" spans="1:18" s="217" customFormat="1">
      <c r="A110" s="168"/>
      <c r="E110" s="111"/>
      <c r="F110" s="111"/>
      <c r="G110" s="111"/>
      <c r="H110" s="111"/>
      <c r="I110" s="181"/>
    </row>
    <row r="111" spans="1:18" s="217" customFormat="1">
      <c r="A111" s="168"/>
      <c r="E111" s="111"/>
      <c r="F111" s="111"/>
      <c r="G111" s="111"/>
      <c r="H111" s="111"/>
      <c r="I111" s="181"/>
    </row>
    <row r="112" spans="1:18" s="217" customFormat="1">
      <c r="A112" s="168"/>
      <c r="E112" s="111"/>
      <c r="F112" s="111"/>
      <c r="G112" s="111"/>
      <c r="H112" s="111"/>
      <c r="I112" s="181"/>
    </row>
    <row r="113" spans="1:9" s="217" customFormat="1">
      <c r="A113" s="168"/>
      <c r="E113" s="111"/>
      <c r="F113" s="111"/>
      <c r="G113" s="111"/>
      <c r="H113" s="111"/>
      <c r="I113" s="181"/>
    </row>
    <row r="114" spans="1:9" s="217" customFormat="1">
      <c r="A114" s="168"/>
      <c r="E114" s="111"/>
      <c r="F114" s="111"/>
      <c r="G114" s="111"/>
      <c r="H114" s="111"/>
      <c r="I114" s="181"/>
    </row>
    <row r="115" spans="1:9" s="217" customFormat="1">
      <c r="A115" s="168"/>
      <c r="E115" s="111"/>
      <c r="F115" s="111"/>
      <c r="G115" s="111"/>
      <c r="H115" s="111"/>
      <c r="I115" s="181"/>
    </row>
    <row r="116" spans="1:9" s="217" customFormat="1">
      <c r="A116" s="168"/>
      <c r="E116" s="111"/>
      <c r="F116" s="111"/>
      <c r="G116" s="111"/>
      <c r="H116" s="111"/>
      <c r="I116" s="181"/>
    </row>
    <row r="117" spans="1:9" s="217" customFormat="1">
      <c r="A117" s="168"/>
      <c r="E117" s="111"/>
      <c r="F117" s="111"/>
      <c r="G117" s="111"/>
      <c r="H117" s="111"/>
      <c r="I117" s="181"/>
    </row>
    <row r="118" spans="1:9" s="217" customFormat="1">
      <c r="A118" s="168"/>
      <c r="E118" s="111"/>
      <c r="F118" s="111"/>
      <c r="G118" s="111"/>
      <c r="H118" s="111"/>
      <c r="I118" s="181"/>
    </row>
    <row r="119" spans="1:9" s="217" customFormat="1">
      <c r="A119" s="168"/>
      <c r="E119" s="111"/>
      <c r="F119" s="111"/>
      <c r="G119" s="111"/>
      <c r="H119" s="111"/>
      <c r="I119" s="181"/>
    </row>
    <row r="120" spans="1:9" s="217" customFormat="1">
      <c r="A120" s="168"/>
      <c r="E120" s="111"/>
      <c r="F120" s="111"/>
      <c r="G120" s="111"/>
      <c r="H120" s="111"/>
      <c r="I120" s="181"/>
    </row>
    <row r="121" spans="1:9" s="217" customFormat="1">
      <c r="A121" s="168"/>
      <c r="E121" s="111"/>
      <c r="F121" s="111"/>
      <c r="G121" s="111"/>
      <c r="H121" s="111"/>
      <c r="I121" s="181"/>
    </row>
    <row r="122" spans="1:9" s="217" customFormat="1">
      <c r="A122" s="168"/>
      <c r="E122" s="111"/>
      <c r="F122" s="111"/>
      <c r="G122" s="111"/>
      <c r="H122" s="111"/>
      <c r="I122" s="181"/>
    </row>
    <row r="123" spans="1:9" s="217" customFormat="1">
      <c r="A123" s="168"/>
      <c r="E123" s="111"/>
      <c r="F123" s="111"/>
      <c r="G123" s="111"/>
      <c r="H123" s="111"/>
      <c r="I123" s="181"/>
    </row>
    <row r="124" spans="1:9" s="217" customFormat="1">
      <c r="A124" s="168"/>
      <c r="E124" s="111"/>
      <c r="F124" s="111"/>
      <c r="G124" s="111"/>
      <c r="H124" s="111"/>
      <c r="I124" s="181"/>
    </row>
    <row r="125" spans="1:9" s="217" customFormat="1">
      <c r="A125" s="168"/>
      <c r="E125" s="111"/>
      <c r="F125" s="111"/>
      <c r="G125" s="111"/>
      <c r="H125" s="111"/>
      <c r="I125" s="181"/>
    </row>
    <row r="126" spans="1:9" s="217" customFormat="1">
      <c r="A126" s="168"/>
      <c r="E126" s="111"/>
      <c r="F126" s="111"/>
      <c r="G126" s="111"/>
      <c r="H126" s="111"/>
      <c r="I126" s="181"/>
    </row>
    <row r="127" spans="1:9" s="217" customFormat="1">
      <c r="A127" s="168"/>
      <c r="E127" s="111"/>
      <c r="F127" s="111"/>
      <c r="G127" s="111"/>
      <c r="H127" s="111"/>
      <c r="I127" s="181"/>
    </row>
    <row r="128" spans="1:9" s="217" customFormat="1">
      <c r="A128" s="168"/>
      <c r="E128" s="111"/>
      <c r="F128" s="111"/>
      <c r="G128" s="111"/>
      <c r="H128" s="111"/>
      <c r="I128" s="181"/>
    </row>
    <row r="129" spans="1:9" s="217" customFormat="1">
      <c r="A129" s="168"/>
      <c r="E129" s="111"/>
      <c r="F129" s="111"/>
      <c r="G129" s="111"/>
      <c r="H129" s="111"/>
      <c r="I129" s="181"/>
    </row>
    <row r="130" spans="1:9" s="217" customFormat="1">
      <c r="A130" s="168"/>
      <c r="E130" s="111"/>
      <c r="F130" s="111"/>
      <c r="G130" s="111"/>
      <c r="H130" s="111"/>
      <c r="I130" s="181"/>
    </row>
    <row r="131" spans="1:9" s="217" customFormat="1">
      <c r="A131" s="168"/>
      <c r="E131" s="111"/>
      <c r="F131" s="111"/>
      <c r="G131" s="111"/>
      <c r="H131" s="111"/>
      <c r="I131" s="181"/>
    </row>
    <row r="132" spans="1:9" s="217" customFormat="1">
      <c r="A132" s="168"/>
      <c r="E132" s="111"/>
      <c r="F132" s="111"/>
      <c r="G132" s="111"/>
      <c r="H132" s="111"/>
      <c r="I132" s="181"/>
    </row>
    <row r="133" spans="1:9" s="217" customFormat="1">
      <c r="A133" s="168"/>
      <c r="E133" s="111"/>
      <c r="F133" s="111"/>
      <c r="G133" s="111"/>
      <c r="H133" s="111"/>
      <c r="I133" s="181"/>
    </row>
    <row r="134" spans="1:9" s="217" customFormat="1">
      <c r="A134" s="168"/>
      <c r="E134" s="111"/>
      <c r="F134" s="111"/>
      <c r="G134" s="111"/>
      <c r="H134" s="111"/>
      <c r="I134" s="181"/>
    </row>
    <row r="135" spans="1:9" s="217" customFormat="1">
      <c r="A135" s="168"/>
      <c r="E135" s="111"/>
      <c r="F135" s="111"/>
      <c r="G135" s="111"/>
      <c r="H135" s="111"/>
      <c r="I135" s="181"/>
    </row>
    <row r="136" spans="1:9" s="217" customFormat="1">
      <c r="A136" s="168"/>
      <c r="E136" s="111"/>
      <c r="F136" s="111"/>
      <c r="G136" s="111"/>
      <c r="H136" s="111"/>
      <c r="I136" s="181"/>
    </row>
    <row r="137" spans="1:9" s="217" customFormat="1">
      <c r="A137" s="168"/>
      <c r="E137" s="111"/>
      <c r="F137" s="111"/>
      <c r="G137" s="111"/>
      <c r="H137" s="111"/>
      <c r="I137" s="181"/>
    </row>
    <row r="138" spans="1:9" s="217" customFormat="1">
      <c r="A138" s="168"/>
      <c r="E138" s="111"/>
      <c r="F138" s="111"/>
      <c r="G138" s="111"/>
      <c r="H138" s="111"/>
      <c r="I138" s="181"/>
    </row>
    <row r="139" spans="1:9" s="217" customFormat="1">
      <c r="A139" s="168"/>
      <c r="E139" s="111"/>
      <c r="F139" s="111"/>
      <c r="G139" s="111"/>
      <c r="H139" s="111"/>
      <c r="I139" s="181"/>
    </row>
    <row r="140" spans="1:9" s="217" customFormat="1">
      <c r="A140" s="168"/>
      <c r="E140" s="111"/>
      <c r="F140" s="111"/>
      <c r="G140" s="111"/>
      <c r="H140" s="111"/>
      <c r="I140" s="181"/>
    </row>
    <row r="141" spans="1:9" s="217" customFormat="1">
      <c r="A141" s="168"/>
      <c r="E141" s="111"/>
      <c r="F141" s="111"/>
      <c r="G141" s="111"/>
      <c r="H141" s="111"/>
      <c r="I141" s="181"/>
    </row>
    <row r="142" spans="1:9" s="217" customFormat="1">
      <c r="A142" s="168"/>
      <c r="E142" s="111"/>
      <c r="F142" s="111"/>
      <c r="G142" s="111"/>
      <c r="H142" s="111"/>
      <c r="I142" s="181"/>
    </row>
    <row r="143" spans="1:9" s="217" customFormat="1">
      <c r="A143" s="168"/>
      <c r="E143" s="111"/>
      <c r="F143" s="111"/>
      <c r="G143" s="111"/>
      <c r="H143" s="111"/>
      <c r="I143" s="181"/>
    </row>
    <row r="144" spans="1:9" s="217" customFormat="1">
      <c r="A144" s="168"/>
      <c r="E144" s="111"/>
      <c r="F144" s="111"/>
      <c r="G144" s="111"/>
      <c r="H144" s="111"/>
      <c r="I144" s="181"/>
    </row>
    <row r="145" spans="1:9" s="217" customFormat="1">
      <c r="A145" s="168"/>
      <c r="E145" s="111"/>
      <c r="F145" s="111"/>
      <c r="G145" s="111"/>
      <c r="H145" s="111"/>
      <c r="I145" s="181"/>
    </row>
    <row r="146" spans="1:9" s="217" customFormat="1">
      <c r="A146" s="168"/>
      <c r="E146" s="111"/>
      <c r="F146" s="111"/>
      <c r="G146" s="111"/>
      <c r="H146" s="111"/>
      <c r="I146" s="181"/>
    </row>
    <row r="147" spans="1:9" s="217" customFormat="1">
      <c r="A147" s="168"/>
      <c r="E147" s="111"/>
      <c r="F147" s="111"/>
      <c r="G147" s="111"/>
      <c r="H147" s="111"/>
      <c r="I147" s="181"/>
    </row>
    <row r="148" spans="1:9" s="217" customFormat="1">
      <c r="A148" s="168"/>
      <c r="E148" s="111"/>
      <c r="F148" s="111"/>
      <c r="G148" s="111"/>
      <c r="H148" s="111"/>
      <c r="I148" s="181"/>
    </row>
    <row r="149" spans="1:9" s="217" customFormat="1">
      <c r="A149" s="168"/>
      <c r="E149" s="111"/>
      <c r="F149" s="111"/>
      <c r="G149" s="111"/>
      <c r="H149" s="111"/>
      <c r="I149" s="181"/>
    </row>
    <row r="150" spans="1:9" s="217" customFormat="1">
      <c r="A150" s="168"/>
      <c r="E150" s="111"/>
      <c r="F150" s="111"/>
      <c r="G150" s="111"/>
      <c r="H150" s="111"/>
      <c r="I150" s="181"/>
    </row>
    <row r="151" spans="1:9" s="217" customFormat="1">
      <c r="A151" s="168"/>
      <c r="E151" s="111"/>
      <c r="F151" s="111"/>
      <c r="G151" s="111"/>
      <c r="H151" s="111"/>
      <c r="I151" s="181"/>
    </row>
    <row r="152" spans="1:9" s="217" customFormat="1">
      <c r="A152" s="168"/>
      <c r="E152" s="111"/>
      <c r="F152" s="111"/>
      <c r="G152" s="111"/>
      <c r="H152" s="111"/>
      <c r="I152" s="181"/>
    </row>
    <row r="153" spans="1:9" s="217" customFormat="1">
      <c r="A153" s="168"/>
      <c r="E153" s="111"/>
      <c r="F153" s="111"/>
      <c r="G153" s="111"/>
      <c r="H153" s="111"/>
      <c r="I153" s="181"/>
    </row>
    <row r="154" spans="1:9" s="217" customFormat="1">
      <c r="A154" s="168"/>
      <c r="E154" s="111"/>
      <c r="F154" s="111"/>
      <c r="G154" s="111"/>
      <c r="H154" s="111"/>
      <c r="I154" s="181"/>
    </row>
    <row r="155" spans="1:9" s="217" customFormat="1">
      <c r="A155" s="168"/>
      <c r="E155" s="111"/>
      <c r="F155" s="111"/>
      <c r="G155" s="111"/>
      <c r="H155" s="111"/>
      <c r="I155" s="181"/>
    </row>
    <row r="156" spans="1:9" s="217" customFormat="1">
      <c r="A156" s="168"/>
      <c r="E156" s="111"/>
      <c r="F156" s="111"/>
      <c r="G156" s="111"/>
      <c r="H156" s="111"/>
      <c r="I156" s="181"/>
    </row>
    <row r="157" spans="1:9" s="217" customFormat="1">
      <c r="A157" s="168"/>
      <c r="E157" s="111"/>
      <c r="F157" s="111"/>
      <c r="G157" s="111"/>
      <c r="H157" s="111"/>
      <c r="I157" s="181"/>
    </row>
    <row r="158" spans="1:9" s="217" customFormat="1">
      <c r="A158" s="168"/>
      <c r="E158" s="111"/>
      <c r="F158" s="111"/>
      <c r="G158" s="111"/>
      <c r="H158" s="111"/>
      <c r="I158" s="181"/>
    </row>
    <row r="159" spans="1:9" s="217" customFormat="1">
      <c r="A159" s="168"/>
      <c r="E159" s="111"/>
      <c r="F159" s="111"/>
      <c r="G159" s="111"/>
      <c r="H159" s="111"/>
      <c r="I159" s="181"/>
    </row>
    <row r="160" spans="1:9" s="217" customFormat="1">
      <c r="A160" s="168"/>
      <c r="E160" s="111"/>
      <c r="F160" s="111"/>
      <c r="G160" s="111"/>
      <c r="H160" s="111"/>
      <c r="I160" s="181"/>
    </row>
    <row r="161" spans="1:9" s="217" customFormat="1">
      <c r="A161" s="168"/>
      <c r="E161" s="111"/>
      <c r="F161" s="111"/>
      <c r="G161" s="111"/>
      <c r="H161" s="111"/>
      <c r="I161" s="181"/>
    </row>
    <row r="162" spans="1:9" s="217" customFormat="1">
      <c r="A162" s="168"/>
      <c r="E162" s="111"/>
      <c r="F162" s="111"/>
      <c r="G162" s="111"/>
      <c r="H162" s="111"/>
      <c r="I162" s="181"/>
    </row>
    <row r="163" spans="1:9" s="217" customFormat="1">
      <c r="A163" s="168"/>
      <c r="E163" s="111"/>
      <c r="F163" s="111"/>
      <c r="G163" s="111"/>
      <c r="H163" s="111"/>
      <c r="I163" s="181"/>
    </row>
    <row r="164" spans="1:9" s="217" customFormat="1">
      <c r="A164" s="168"/>
      <c r="E164" s="111"/>
      <c r="F164" s="111"/>
      <c r="G164" s="111"/>
      <c r="H164" s="111"/>
      <c r="I164" s="181"/>
    </row>
    <row r="165" spans="1:9" s="217" customFormat="1">
      <c r="A165" s="168"/>
      <c r="E165" s="111"/>
      <c r="F165" s="111"/>
      <c r="G165" s="111"/>
      <c r="H165" s="111"/>
      <c r="I165" s="181"/>
    </row>
    <row r="166" spans="1:9" s="217" customFormat="1">
      <c r="A166" s="168"/>
      <c r="E166" s="111"/>
      <c r="F166" s="111"/>
      <c r="G166" s="111"/>
      <c r="H166" s="111"/>
      <c r="I166" s="181"/>
    </row>
    <row r="167" spans="1:9" s="217" customFormat="1">
      <c r="A167" s="168"/>
      <c r="E167" s="111"/>
      <c r="F167" s="111"/>
      <c r="G167" s="111"/>
      <c r="H167" s="111"/>
      <c r="I167" s="181"/>
    </row>
    <row r="168" spans="1:9" s="217" customFormat="1">
      <c r="A168" s="168"/>
      <c r="E168" s="111"/>
      <c r="F168" s="111"/>
      <c r="G168" s="111"/>
      <c r="H168" s="111"/>
      <c r="I168" s="181"/>
    </row>
    <row r="169" spans="1:9" s="217" customFormat="1">
      <c r="A169" s="168"/>
      <c r="E169" s="111"/>
      <c r="F169" s="111"/>
      <c r="G169" s="111"/>
      <c r="H169" s="111"/>
      <c r="I169" s="181"/>
    </row>
    <row r="170" spans="1:9" s="217" customFormat="1">
      <c r="A170" s="168"/>
      <c r="E170" s="111"/>
      <c r="F170" s="111"/>
      <c r="G170" s="111"/>
      <c r="H170" s="111"/>
      <c r="I170" s="181"/>
    </row>
    <row r="171" spans="1:9" s="217" customFormat="1">
      <c r="A171" s="168"/>
      <c r="E171" s="111"/>
      <c r="F171" s="111"/>
      <c r="G171" s="111"/>
      <c r="H171" s="111"/>
      <c r="I171" s="181"/>
    </row>
    <row r="172" spans="1:9" s="217" customFormat="1">
      <c r="A172" s="168"/>
      <c r="E172" s="111"/>
      <c r="F172" s="111"/>
      <c r="G172" s="111"/>
      <c r="H172" s="111"/>
      <c r="I172" s="181"/>
    </row>
    <row r="173" spans="1:9" s="217" customFormat="1">
      <c r="A173" s="168"/>
      <c r="E173" s="111"/>
      <c r="F173" s="111"/>
      <c r="G173" s="111"/>
      <c r="H173" s="111"/>
      <c r="I173" s="181"/>
    </row>
    <row r="174" spans="1:9" s="217" customFormat="1">
      <c r="A174" s="168"/>
      <c r="E174" s="111"/>
      <c r="F174" s="111"/>
      <c r="G174" s="111"/>
      <c r="H174" s="111"/>
      <c r="I174" s="181"/>
    </row>
    <row r="175" spans="1:9" s="217" customFormat="1">
      <c r="A175" s="168"/>
      <c r="E175" s="111"/>
      <c r="F175" s="111"/>
      <c r="G175" s="111"/>
      <c r="H175" s="111"/>
      <c r="I175" s="181"/>
    </row>
    <row r="176" spans="1:9" s="217" customFormat="1">
      <c r="A176" s="168"/>
      <c r="E176" s="111"/>
      <c r="F176" s="111"/>
      <c r="G176" s="111"/>
      <c r="H176" s="111"/>
      <c r="I176" s="181"/>
    </row>
    <row r="177" spans="1:9" s="217" customFormat="1">
      <c r="A177" s="168"/>
      <c r="E177" s="111"/>
      <c r="F177" s="111"/>
      <c r="G177" s="111"/>
      <c r="H177" s="111"/>
      <c r="I177" s="181"/>
    </row>
    <row r="178" spans="1:9" s="217" customFormat="1">
      <c r="A178" s="168"/>
      <c r="E178" s="111"/>
      <c r="F178" s="111"/>
      <c r="G178" s="111"/>
      <c r="H178" s="111"/>
      <c r="I178" s="181"/>
    </row>
    <row r="179" spans="1:9" s="217" customFormat="1">
      <c r="A179" s="168"/>
      <c r="E179" s="111"/>
      <c r="F179" s="111"/>
      <c r="G179" s="111"/>
      <c r="H179" s="111"/>
      <c r="I179" s="181"/>
    </row>
    <row r="180" spans="1:9" s="217" customFormat="1">
      <c r="A180" s="168"/>
      <c r="E180" s="111"/>
      <c r="F180" s="111"/>
      <c r="G180" s="111"/>
      <c r="H180" s="111"/>
      <c r="I180" s="181"/>
    </row>
    <row r="181" spans="1:9" s="217" customFormat="1">
      <c r="A181" s="168"/>
      <c r="E181" s="111"/>
      <c r="F181" s="111"/>
      <c r="G181" s="111"/>
      <c r="H181" s="111"/>
      <c r="I181" s="181"/>
    </row>
    <row r="182" spans="1:9" s="217" customFormat="1">
      <c r="A182" s="168"/>
      <c r="E182" s="111"/>
      <c r="F182" s="111"/>
      <c r="G182" s="111"/>
      <c r="H182" s="111"/>
      <c r="I182" s="181"/>
    </row>
    <row r="183" spans="1:9" s="217" customFormat="1">
      <c r="A183" s="168"/>
      <c r="E183" s="111"/>
      <c r="F183" s="111"/>
      <c r="G183" s="111"/>
      <c r="H183" s="111"/>
      <c r="I183" s="181"/>
    </row>
    <row r="184" spans="1:9" s="217" customFormat="1">
      <c r="A184" s="168"/>
      <c r="E184" s="111"/>
      <c r="F184" s="111"/>
      <c r="G184" s="111"/>
      <c r="H184" s="111"/>
      <c r="I184" s="181"/>
    </row>
    <row r="185" spans="1:9" s="217" customFormat="1">
      <c r="A185" s="168"/>
      <c r="E185" s="111"/>
      <c r="F185" s="111"/>
      <c r="G185" s="111"/>
      <c r="H185" s="111"/>
      <c r="I185" s="181"/>
    </row>
    <row r="186" spans="1:9" s="217" customFormat="1">
      <c r="A186" s="168"/>
      <c r="E186" s="111"/>
      <c r="F186" s="111"/>
      <c r="G186" s="111"/>
      <c r="H186" s="111"/>
      <c r="I186" s="181"/>
    </row>
    <row r="187" spans="1:9" s="217" customFormat="1">
      <c r="A187" s="168"/>
      <c r="E187" s="111"/>
      <c r="F187" s="111"/>
      <c r="G187" s="111"/>
      <c r="H187" s="111"/>
      <c r="I187" s="181"/>
    </row>
    <row r="188" spans="1:9" s="217" customFormat="1">
      <c r="A188" s="168"/>
      <c r="E188" s="111"/>
      <c r="F188" s="111"/>
      <c r="G188" s="111"/>
      <c r="H188" s="111"/>
      <c r="I188" s="181"/>
    </row>
    <row r="189" spans="1:9" s="217" customFormat="1">
      <c r="A189" s="168"/>
      <c r="E189" s="111"/>
      <c r="F189" s="111"/>
      <c r="G189" s="111"/>
      <c r="H189" s="111"/>
      <c r="I189" s="181"/>
    </row>
    <row r="190" spans="1:9" s="217" customFormat="1">
      <c r="A190" s="168"/>
      <c r="E190" s="111"/>
      <c r="F190" s="111"/>
      <c r="G190" s="111"/>
      <c r="H190" s="111"/>
      <c r="I190" s="181"/>
    </row>
    <row r="191" spans="1:9" s="217" customFormat="1">
      <c r="A191" s="168"/>
      <c r="E191" s="111"/>
      <c r="F191" s="111"/>
      <c r="G191" s="111"/>
      <c r="H191" s="111"/>
      <c r="I191" s="181"/>
    </row>
    <row r="192" spans="1:9" s="217" customFormat="1">
      <c r="A192" s="168"/>
      <c r="E192" s="111"/>
      <c r="F192" s="111"/>
      <c r="G192" s="111"/>
      <c r="H192" s="111"/>
      <c r="I192" s="181"/>
    </row>
    <row r="193" spans="1:9" s="217" customFormat="1">
      <c r="A193" s="168"/>
      <c r="E193" s="111"/>
      <c r="F193" s="111"/>
      <c r="G193" s="111"/>
      <c r="H193" s="111"/>
      <c r="I193" s="181"/>
    </row>
    <row r="194" spans="1:9" s="217" customFormat="1">
      <c r="A194" s="168"/>
      <c r="E194" s="111"/>
      <c r="F194" s="111"/>
      <c r="G194" s="111"/>
      <c r="H194" s="111"/>
      <c r="I194" s="181"/>
    </row>
    <row r="195" spans="1:9" s="217" customFormat="1">
      <c r="A195" s="168"/>
      <c r="E195" s="111"/>
      <c r="F195" s="111"/>
      <c r="G195" s="111"/>
      <c r="H195" s="111"/>
      <c r="I195" s="181"/>
    </row>
    <row r="196" spans="1:9" s="217" customFormat="1">
      <c r="A196" s="168"/>
      <c r="E196" s="111"/>
      <c r="F196" s="111"/>
      <c r="G196" s="111"/>
      <c r="H196" s="111"/>
      <c r="I196" s="181"/>
    </row>
    <row r="197" spans="1:9" s="217" customFormat="1">
      <c r="A197" s="168"/>
      <c r="E197" s="111"/>
      <c r="F197" s="111"/>
      <c r="G197" s="111"/>
      <c r="H197" s="111"/>
      <c r="I197" s="181"/>
    </row>
    <row r="198" spans="1:9" s="217" customFormat="1">
      <c r="A198" s="168"/>
      <c r="E198" s="111"/>
      <c r="F198" s="111"/>
      <c r="G198" s="111"/>
      <c r="H198" s="111"/>
      <c r="I198" s="181"/>
    </row>
    <row r="199" spans="1:9" s="217" customFormat="1">
      <c r="A199" s="168"/>
      <c r="E199" s="111"/>
      <c r="F199" s="111"/>
      <c r="G199" s="111"/>
      <c r="H199" s="111"/>
      <c r="I199" s="181"/>
    </row>
    <row r="200" spans="1:9" s="217" customFormat="1">
      <c r="A200" s="168"/>
      <c r="E200" s="111"/>
      <c r="F200" s="111"/>
      <c r="G200" s="111"/>
      <c r="H200" s="111"/>
      <c r="I200" s="181"/>
    </row>
    <row r="201" spans="1:9" s="217" customFormat="1">
      <c r="A201" s="168"/>
      <c r="E201" s="111"/>
      <c r="F201" s="111"/>
      <c r="G201" s="111"/>
      <c r="H201" s="111"/>
      <c r="I201" s="181"/>
    </row>
    <row r="202" spans="1:9" s="217" customFormat="1">
      <c r="A202" s="168"/>
      <c r="E202" s="111"/>
      <c r="F202" s="111"/>
      <c r="G202" s="111"/>
      <c r="H202" s="111"/>
      <c r="I202" s="181"/>
    </row>
    <row r="203" spans="1:9" s="217" customFormat="1">
      <c r="A203" s="168"/>
      <c r="E203" s="111"/>
      <c r="F203" s="111"/>
      <c r="G203" s="111"/>
      <c r="H203" s="111"/>
      <c r="I203" s="181"/>
    </row>
    <row r="204" spans="1:9" s="217" customFormat="1">
      <c r="A204" s="168"/>
      <c r="E204" s="111"/>
      <c r="F204" s="111"/>
      <c r="G204" s="111"/>
      <c r="H204" s="111"/>
      <c r="I204" s="181"/>
    </row>
    <row r="205" spans="1:9" s="217" customFormat="1">
      <c r="A205" s="168"/>
      <c r="E205" s="111"/>
      <c r="F205" s="111"/>
      <c r="G205" s="111"/>
      <c r="H205" s="111"/>
      <c r="I205" s="181"/>
    </row>
    <row r="206" spans="1:9" s="217" customFormat="1">
      <c r="A206" s="168"/>
      <c r="E206" s="111"/>
      <c r="F206" s="111"/>
      <c r="G206" s="111"/>
      <c r="H206" s="111"/>
      <c r="I206" s="181"/>
    </row>
    <row r="207" spans="1:9" s="217" customFormat="1">
      <c r="A207" s="168"/>
      <c r="E207" s="111"/>
      <c r="F207" s="111"/>
      <c r="G207" s="111"/>
      <c r="H207" s="111"/>
      <c r="I207" s="181"/>
    </row>
    <row r="208" spans="1:9" s="217" customFormat="1">
      <c r="A208" s="168"/>
      <c r="E208" s="111"/>
      <c r="F208" s="111"/>
      <c r="G208" s="111"/>
      <c r="H208" s="111"/>
      <c r="I208" s="181"/>
    </row>
    <row r="209" spans="1:9" s="217" customFormat="1">
      <c r="A209" s="168"/>
      <c r="E209" s="111"/>
      <c r="F209" s="111"/>
      <c r="G209" s="111"/>
      <c r="H209" s="111"/>
      <c r="I209" s="181"/>
    </row>
    <row r="210" spans="1:9" s="217" customFormat="1">
      <c r="A210" s="168"/>
      <c r="E210" s="111"/>
      <c r="F210" s="111"/>
      <c r="G210" s="111"/>
      <c r="H210" s="111"/>
      <c r="I210" s="181"/>
    </row>
    <row r="211" spans="1:9" s="217" customFormat="1">
      <c r="A211" s="168"/>
      <c r="E211" s="111"/>
      <c r="F211" s="111"/>
      <c r="G211" s="111"/>
      <c r="H211" s="111"/>
      <c r="I211" s="181"/>
    </row>
    <row r="212" spans="1:9" s="217" customFormat="1">
      <c r="A212" s="168"/>
      <c r="E212" s="111"/>
      <c r="F212" s="111"/>
      <c r="G212" s="111"/>
      <c r="H212" s="111"/>
      <c r="I212" s="181"/>
    </row>
    <row r="213" spans="1:9" s="217" customFormat="1">
      <c r="A213" s="168"/>
      <c r="E213" s="111"/>
      <c r="F213" s="111"/>
      <c r="G213" s="111"/>
      <c r="H213" s="111"/>
      <c r="I213" s="181"/>
    </row>
    <row r="214" spans="1:9" s="217" customFormat="1">
      <c r="A214" s="168"/>
      <c r="E214" s="111"/>
      <c r="F214" s="111"/>
      <c r="G214" s="111"/>
      <c r="H214" s="111"/>
      <c r="I214" s="181"/>
    </row>
    <row r="215" spans="1:9" s="217" customFormat="1">
      <c r="A215" s="168"/>
      <c r="E215" s="111"/>
      <c r="F215" s="111"/>
      <c r="G215" s="111"/>
      <c r="H215" s="111"/>
      <c r="I215" s="181"/>
    </row>
    <row r="216" spans="1:9" s="217" customFormat="1">
      <c r="A216" s="168"/>
      <c r="E216" s="111"/>
      <c r="F216" s="111"/>
      <c r="G216" s="111"/>
      <c r="H216" s="111"/>
      <c r="I216" s="181"/>
    </row>
    <row r="217" spans="1:9" s="217" customFormat="1">
      <c r="A217" s="168"/>
      <c r="E217" s="111"/>
      <c r="F217" s="111"/>
      <c r="G217" s="111"/>
      <c r="H217" s="111"/>
      <c r="I217" s="181"/>
    </row>
    <row r="218" spans="1:9" s="217" customFormat="1">
      <c r="A218" s="168"/>
      <c r="E218" s="111"/>
      <c r="F218" s="111"/>
      <c r="G218" s="111"/>
      <c r="H218" s="111"/>
      <c r="I218" s="181"/>
    </row>
    <row r="219" spans="1:9" s="217" customFormat="1">
      <c r="A219" s="168"/>
      <c r="E219" s="111"/>
      <c r="F219" s="111"/>
      <c r="G219" s="111"/>
      <c r="H219" s="111"/>
      <c r="I219" s="181"/>
    </row>
    <row r="220" spans="1:9" s="217" customFormat="1">
      <c r="A220" s="168"/>
      <c r="E220" s="111"/>
      <c r="F220" s="111"/>
      <c r="G220" s="111"/>
      <c r="H220" s="111"/>
      <c r="I220" s="181"/>
    </row>
    <row r="221" spans="1:9" s="217" customFormat="1">
      <c r="A221" s="168"/>
      <c r="E221" s="111"/>
      <c r="F221" s="111"/>
      <c r="G221" s="111"/>
      <c r="H221" s="111"/>
      <c r="I221" s="181"/>
    </row>
    <row r="222" spans="1:9" s="217" customFormat="1">
      <c r="A222" s="168"/>
      <c r="E222" s="111"/>
      <c r="F222" s="111"/>
      <c r="G222" s="111"/>
      <c r="H222" s="111"/>
      <c r="I222" s="181"/>
    </row>
    <row r="223" spans="1:9" s="217" customFormat="1">
      <c r="A223" s="168"/>
      <c r="E223" s="111"/>
      <c r="F223" s="111"/>
      <c r="G223" s="111"/>
      <c r="H223" s="111"/>
      <c r="I223" s="181"/>
    </row>
    <row r="224" spans="1:9" s="217" customFormat="1">
      <c r="A224" s="168"/>
      <c r="E224" s="111"/>
      <c r="F224" s="111"/>
      <c r="G224" s="111"/>
      <c r="H224" s="111"/>
      <c r="I224" s="181"/>
    </row>
    <row r="225" spans="1:9" s="217" customFormat="1">
      <c r="A225" s="168"/>
      <c r="E225" s="111"/>
      <c r="F225" s="111"/>
      <c r="G225" s="111"/>
      <c r="H225" s="111"/>
      <c r="I225" s="181"/>
    </row>
    <row r="226" spans="1:9" s="217" customFormat="1">
      <c r="A226" s="168"/>
      <c r="E226" s="111"/>
      <c r="F226" s="111"/>
      <c r="G226" s="111"/>
      <c r="H226" s="111"/>
      <c r="I226" s="181"/>
    </row>
    <row r="227" spans="1:9" s="217" customFormat="1">
      <c r="A227" s="168"/>
      <c r="E227" s="111"/>
      <c r="F227" s="111"/>
      <c r="G227" s="111"/>
      <c r="H227" s="111"/>
      <c r="I227" s="181"/>
    </row>
    <row r="228" spans="1:9" s="217" customFormat="1">
      <c r="A228" s="168"/>
      <c r="E228" s="111"/>
      <c r="F228" s="111"/>
      <c r="G228" s="111"/>
      <c r="H228" s="111"/>
      <c r="I228" s="181"/>
    </row>
    <row r="229" spans="1:9" s="217" customFormat="1">
      <c r="A229" s="168"/>
      <c r="E229" s="111"/>
      <c r="F229" s="111"/>
      <c r="G229" s="111"/>
      <c r="H229" s="111"/>
      <c r="I229" s="181"/>
    </row>
    <row r="230" spans="1:9" s="217" customFormat="1">
      <c r="A230" s="168"/>
      <c r="E230" s="111"/>
      <c r="F230" s="111"/>
      <c r="G230" s="111"/>
      <c r="H230" s="111"/>
      <c r="I230" s="181"/>
    </row>
    <row r="231" spans="1:9" s="217" customFormat="1">
      <c r="A231" s="168"/>
      <c r="E231" s="111"/>
      <c r="F231" s="111"/>
      <c r="G231" s="111"/>
      <c r="H231" s="111"/>
      <c r="I231" s="181"/>
    </row>
    <row r="232" spans="1:9" s="217" customFormat="1">
      <c r="A232" s="168"/>
      <c r="E232" s="111"/>
      <c r="F232" s="111"/>
      <c r="G232" s="111"/>
      <c r="H232" s="111"/>
      <c r="I232" s="181"/>
    </row>
    <row r="233" spans="1:9" s="217" customFormat="1">
      <c r="A233" s="168"/>
      <c r="E233" s="111"/>
      <c r="F233" s="111"/>
      <c r="G233" s="111"/>
      <c r="H233" s="111"/>
      <c r="I233" s="181"/>
    </row>
    <row r="234" spans="1:9" s="217" customFormat="1">
      <c r="A234" s="168"/>
      <c r="E234" s="111"/>
      <c r="F234" s="111"/>
      <c r="G234" s="111"/>
      <c r="H234" s="111"/>
      <c r="I234" s="181"/>
    </row>
    <row r="235" spans="1:9" s="217" customFormat="1">
      <c r="A235" s="168"/>
      <c r="E235" s="111"/>
      <c r="F235" s="111"/>
      <c r="G235" s="111"/>
      <c r="H235" s="111"/>
      <c r="I235" s="181"/>
    </row>
    <row r="236" spans="1:9" s="217" customFormat="1">
      <c r="A236" s="168"/>
      <c r="E236" s="111"/>
      <c r="F236" s="111"/>
      <c r="G236" s="111"/>
      <c r="H236" s="111"/>
      <c r="I236" s="181"/>
    </row>
    <row r="237" spans="1:9" s="217" customFormat="1">
      <c r="A237" s="168"/>
      <c r="E237" s="111"/>
      <c r="F237" s="111"/>
      <c r="G237" s="111"/>
      <c r="H237" s="111"/>
      <c r="I237" s="181"/>
    </row>
    <row r="238" spans="1:9" s="217" customFormat="1">
      <c r="A238" s="168"/>
      <c r="E238" s="111"/>
      <c r="F238" s="111"/>
      <c r="G238" s="111"/>
      <c r="H238" s="111"/>
      <c r="I238" s="181"/>
    </row>
    <row r="239" spans="1:9" s="217" customFormat="1">
      <c r="A239" s="168"/>
      <c r="E239" s="111"/>
      <c r="F239" s="111"/>
      <c r="G239" s="111"/>
      <c r="H239" s="111"/>
      <c r="I239" s="181"/>
    </row>
    <row r="240" spans="1:9" s="217" customFormat="1">
      <c r="A240" s="168"/>
      <c r="E240" s="111"/>
      <c r="F240" s="111"/>
      <c r="G240" s="111"/>
      <c r="H240" s="111"/>
      <c r="I240" s="181"/>
    </row>
    <row r="241" spans="1:9" s="217" customFormat="1">
      <c r="A241" s="168"/>
      <c r="E241" s="111"/>
      <c r="F241" s="111"/>
      <c r="G241" s="111"/>
      <c r="H241" s="111"/>
      <c r="I241" s="181"/>
    </row>
    <row r="242" spans="1:9" s="217" customFormat="1">
      <c r="A242" s="168"/>
      <c r="E242" s="111"/>
      <c r="F242" s="111"/>
      <c r="G242" s="111"/>
      <c r="H242" s="111"/>
      <c r="I242" s="181"/>
    </row>
    <row r="243" spans="1:9" s="217" customFormat="1">
      <c r="A243" s="168"/>
      <c r="E243" s="111"/>
      <c r="F243" s="111"/>
      <c r="G243" s="111"/>
      <c r="H243" s="111"/>
      <c r="I243" s="181"/>
    </row>
    <row r="244" spans="1:9" s="217" customFormat="1">
      <c r="A244" s="168"/>
      <c r="E244" s="111"/>
      <c r="F244" s="111"/>
      <c r="G244" s="111"/>
      <c r="H244" s="111"/>
      <c r="I244" s="181"/>
    </row>
    <row r="245" spans="1:9" s="217" customFormat="1">
      <c r="A245" s="168"/>
      <c r="E245" s="111"/>
      <c r="F245" s="111"/>
      <c r="G245" s="111"/>
      <c r="H245" s="111"/>
      <c r="I245" s="181"/>
    </row>
    <row r="246" spans="1:9" s="217" customFormat="1">
      <c r="A246" s="168"/>
      <c r="E246" s="111"/>
      <c r="F246" s="111"/>
      <c r="G246" s="111"/>
      <c r="H246" s="111"/>
      <c r="I246" s="181"/>
    </row>
    <row r="247" spans="1:9" s="217" customFormat="1">
      <c r="A247" s="168"/>
      <c r="E247" s="111"/>
      <c r="F247" s="111"/>
      <c r="G247" s="111"/>
      <c r="H247" s="111"/>
      <c r="I247" s="181"/>
    </row>
    <row r="248" spans="1:9" s="217" customFormat="1">
      <c r="A248" s="168"/>
      <c r="E248" s="111"/>
      <c r="F248" s="111"/>
      <c r="G248" s="111"/>
      <c r="H248" s="111"/>
      <c r="I248" s="181"/>
    </row>
    <row r="249" spans="1:9" s="217" customFormat="1">
      <c r="A249" s="168"/>
      <c r="E249" s="111"/>
      <c r="F249" s="111"/>
      <c r="G249" s="111"/>
      <c r="H249" s="111"/>
      <c r="I249" s="181"/>
    </row>
    <row r="250" spans="1:9" s="217" customFormat="1">
      <c r="A250" s="168"/>
      <c r="E250" s="111"/>
      <c r="F250" s="111"/>
      <c r="G250" s="111"/>
      <c r="H250" s="111"/>
      <c r="I250" s="181"/>
    </row>
    <row r="251" spans="1:9" s="217" customFormat="1">
      <c r="A251" s="168"/>
      <c r="E251" s="111"/>
      <c r="F251" s="111"/>
      <c r="G251" s="111"/>
      <c r="H251" s="111"/>
      <c r="I251" s="181"/>
    </row>
  </sheetData>
  <mergeCells count="17">
    <mergeCell ref="A44:H44"/>
    <mergeCell ref="A2:H2"/>
    <mergeCell ref="A1:H1"/>
    <mergeCell ref="A4:A5"/>
    <mergeCell ref="B4:B5"/>
    <mergeCell ref="A7:H7"/>
    <mergeCell ref="E4:H4"/>
    <mergeCell ref="C4:D4"/>
    <mergeCell ref="C100:D100"/>
    <mergeCell ref="G100:H100"/>
    <mergeCell ref="C99:D99"/>
    <mergeCell ref="A78:H78"/>
    <mergeCell ref="A51:H51"/>
    <mergeCell ref="A69:H69"/>
    <mergeCell ref="C79:D79"/>
    <mergeCell ref="E79:H79"/>
    <mergeCell ref="G99:H99"/>
  </mergeCells>
  <phoneticPr fontId="4" type="noConversion"/>
  <pageMargins left="0.39370078740157483" right="0.39370078740157483" top="0.78740157480314965" bottom="0.39370078740157483" header="0.39370078740157483" footer="0.19685039370078741"/>
  <pageSetup paperSize="9" scale="70" orientation="landscape" verticalDpi="300" r:id="rId1"/>
  <headerFooter alignWithMargins="0"/>
  <rowBreaks count="1" manualBreakCount="1">
    <brk id="81" max="7" man="1"/>
  </rowBreaks>
  <ignoredErrors>
    <ignoredError sqref="B81:B8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2:N324"/>
  <sheetViews>
    <sheetView view="pageBreakPreview" topLeftCell="A7" zoomScale="70" zoomScaleSheetLayoutView="70" workbookViewId="0">
      <selection activeCell="L18" sqref="L17:L18"/>
    </sheetView>
  </sheetViews>
  <sheetFormatPr defaultRowHeight="18.75"/>
  <cols>
    <col min="1" max="1" width="9.140625" style="2"/>
    <col min="2" max="2" width="58" style="2" customWidth="1"/>
    <col min="3" max="3" width="13.42578125" style="220" customWidth="1"/>
    <col min="4" max="4" width="18.28515625" style="220" customWidth="1"/>
    <col min="5" max="5" width="18.5703125" style="220" customWidth="1"/>
    <col min="6" max="6" width="17.85546875" style="220" customWidth="1"/>
    <col min="7" max="7" width="18.28515625" style="2" customWidth="1"/>
    <col min="8" max="8" width="19.28515625" style="2" customWidth="1"/>
    <col min="9" max="9" width="16.28515625" style="220" customWidth="1"/>
    <col min="10" max="10" width="18" style="2" customWidth="1"/>
    <col min="11" max="11" width="17.28515625" style="2" customWidth="1"/>
    <col min="12" max="12" width="22.140625" style="2" customWidth="1"/>
    <col min="13" max="13" width="16.7109375" style="2" bestFit="1" customWidth="1"/>
    <col min="14" max="14" width="10.5703125" style="2" bestFit="1" customWidth="1"/>
    <col min="15" max="15" width="14.7109375" style="2" bestFit="1" customWidth="1"/>
    <col min="16" max="18" width="9.140625" style="2"/>
    <col min="19" max="19" width="11.5703125" style="2" bestFit="1" customWidth="1"/>
    <col min="20" max="20" width="9.140625" style="2"/>
    <col min="21" max="21" width="11.5703125" style="2" bestFit="1" customWidth="1"/>
    <col min="22" max="16384" width="9.140625" style="2"/>
  </cols>
  <sheetData>
    <row r="2" spans="1:13" ht="20.25">
      <c r="B2" s="249" t="s">
        <v>102</v>
      </c>
      <c r="C2" s="249"/>
      <c r="D2" s="249"/>
      <c r="E2" s="249"/>
      <c r="F2" s="249"/>
    </row>
    <row r="3" spans="1:13">
      <c r="B3" s="226"/>
      <c r="C3" s="3"/>
      <c r="D3" s="226"/>
      <c r="E3" s="226"/>
      <c r="F3" s="226"/>
      <c r="H3" s="2" t="s">
        <v>65</v>
      </c>
    </row>
    <row r="4" spans="1:13" ht="73.5" customHeight="1">
      <c r="A4" s="4" t="s">
        <v>76</v>
      </c>
      <c r="B4" s="4" t="s">
        <v>23</v>
      </c>
      <c r="C4" s="11" t="s">
        <v>5</v>
      </c>
      <c r="D4" s="11" t="s">
        <v>310</v>
      </c>
      <c r="E4" s="11" t="s">
        <v>308</v>
      </c>
      <c r="F4" s="11" t="s">
        <v>309</v>
      </c>
      <c r="G4" s="11" t="s">
        <v>110</v>
      </c>
      <c r="H4" s="11" t="s">
        <v>112</v>
      </c>
    </row>
    <row r="5" spans="1:13" ht="30.75" customHeight="1">
      <c r="A5" s="4">
        <v>1</v>
      </c>
      <c r="B5" s="4">
        <v>2</v>
      </c>
      <c r="C5" s="11">
        <v>3</v>
      </c>
      <c r="D5" s="11">
        <v>4</v>
      </c>
      <c r="E5" s="11">
        <v>5</v>
      </c>
      <c r="F5" s="11">
        <v>6</v>
      </c>
      <c r="G5" s="4">
        <v>7</v>
      </c>
      <c r="H5" s="4">
        <v>8</v>
      </c>
    </row>
    <row r="6" spans="1:13" ht="30.75" customHeight="1">
      <c r="A6" s="252" t="s">
        <v>75</v>
      </c>
      <c r="B6" s="252"/>
      <c r="C6" s="11"/>
      <c r="D6" s="12">
        <f>D7+D10+D17+D19</f>
        <v>65152.1</v>
      </c>
      <c r="E6" s="12">
        <f>E7+E10+E17+E19</f>
        <v>79940.899999999994</v>
      </c>
      <c r="F6" s="12">
        <f>F7+F10+F17+F19</f>
        <v>95013.8</v>
      </c>
      <c r="G6" s="4">
        <f>F6-E6</f>
        <v>15072.900000000009</v>
      </c>
      <c r="H6" s="13">
        <f>(F6/E6)*100</f>
        <v>118.85505417126905</v>
      </c>
      <c r="I6" s="118"/>
      <c r="J6" s="20"/>
      <c r="K6" s="20"/>
      <c r="L6" s="20"/>
    </row>
    <row r="7" spans="1:13" ht="45" customHeight="1">
      <c r="A7" s="246" t="s">
        <v>74</v>
      </c>
      <c r="B7" s="246"/>
      <c r="C7" s="224">
        <v>1000</v>
      </c>
      <c r="D7" s="14">
        <f>SUM(D8:D9)</f>
        <v>49247</v>
      </c>
      <c r="E7" s="14">
        <f>SUM(E8:E9)</f>
        <v>68630.5</v>
      </c>
      <c r="F7" s="14">
        <f>SUM(F8:F9)</f>
        <v>77984.100000000006</v>
      </c>
      <c r="G7" s="15">
        <f>F7-E7</f>
        <v>9353.6000000000058</v>
      </c>
      <c r="H7" s="15">
        <f>(F7/E7)*100</f>
        <v>113.62892591486293</v>
      </c>
      <c r="K7" s="20"/>
    </row>
    <row r="8" spans="1:13" ht="45" customHeight="1">
      <c r="A8" s="16">
        <v>1</v>
      </c>
      <c r="B8" s="17" t="s">
        <v>187</v>
      </c>
      <c r="C8" s="224"/>
      <c r="D8" s="18">
        <v>48495.1</v>
      </c>
      <c r="E8" s="18">
        <v>67836.2</v>
      </c>
      <c r="F8" s="18">
        <v>77261.600000000006</v>
      </c>
      <c r="G8" s="15">
        <f>F8-E8</f>
        <v>9425.4000000000087</v>
      </c>
      <c r="H8" s="15">
        <f>(F8/E8)*100</f>
        <v>113.89435139350377</v>
      </c>
      <c r="J8" s="20"/>
      <c r="L8" s="20"/>
      <c r="M8" s="20"/>
    </row>
    <row r="9" spans="1:13" ht="30" customHeight="1">
      <c r="A9" s="16">
        <v>2</v>
      </c>
      <c r="B9" s="17" t="s">
        <v>236</v>
      </c>
      <c r="C9" s="224"/>
      <c r="D9" s="18">
        <v>751.9</v>
      </c>
      <c r="E9" s="18">
        <v>794.3</v>
      </c>
      <c r="F9" s="18">
        <v>722.5</v>
      </c>
      <c r="G9" s="15">
        <f t="shared" ref="G9:G20" si="0">F9-E9</f>
        <v>-71.799999999999955</v>
      </c>
      <c r="H9" s="15">
        <f t="shared" ref="H9:H20" si="1">(F9/E9)*100</f>
        <v>90.960594233916652</v>
      </c>
      <c r="I9" s="118"/>
    </row>
    <row r="10" spans="1:13" ht="30.75" customHeight="1">
      <c r="A10" s="245" t="s">
        <v>35</v>
      </c>
      <c r="B10" s="245"/>
      <c r="C10" s="224">
        <v>1040</v>
      </c>
      <c r="D10" s="14">
        <f>SUM(D11:D16)</f>
        <v>12932.099999999999</v>
      </c>
      <c r="E10" s="14">
        <f>SUM(E11:E16)</f>
        <v>8705.4</v>
      </c>
      <c r="F10" s="14">
        <f>SUM(F11:F16)</f>
        <v>12291.2</v>
      </c>
      <c r="G10" s="19">
        <f t="shared" si="0"/>
        <v>3585.8000000000011</v>
      </c>
      <c r="H10" s="19">
        <f t="shared" si="1"/>
        <v>141.19052542100309</v>
      </c>
      <c r="J10" s="54"/>
    </row>
    <row r="11" spans="1:13" ht="48" customHeight="1">
      <c r="A11" s="16">
        <v>1</v>
      </c>
      <c r="B11" s="17" t="s">
        <v>216</v>
      </c>
      <c r="C11" s="224"/>
      <c r="D11" s="18">
        <v>7378</v>
      </c>
      <c r="E11" s="18">
        <v>8657.4</v>
      </c>
      <c r="F11" s="18">
        <v>8626.9</v>
      </c>
      <c r="G11" s="15">
        <f t="shared" si="0"/>
        <v>-30.5</v>
      </c>
      <c r="H11" s="15">
        <f t="shared" si="1"/>
        <v>99.647700233326404</v>
      </c>
      <c r="I11" s="118"/>
      <c r="J11" s="20"/>
    </row>
    <row r="12" spans="1:13" ht="48" customHeight="1">
      <c r="A12" s="16">
        <v>2</v>
      </c>
      <c r="B12" s="17" t="s">
        <v>217</v>
      </c>
      <c r="C12" s="224"/>
      <c r="D12" s="18">
        <v>1537.1</v>
      </c>
      <c r="E12" s="18"/>
      <c r="F12" s="18"/>
      <c r="G12" s="15">
        <f t="shared" si="0"/>
        <v>0</v>
      </c>
      <c r="H12" s="56" t="e">
        <f t="shared" si="1"/>
        <v>#DIV/0!</v>
      </c>
      <c r="J12" s="20"/>
    </row>
    <row r="13" spans="1:13" ht="45" customHeight="1">
      <c r="A13" s="16"/>
      <c r="B13" s="21" t="s">
        <v>303</v>
      </c>
      <c r="C13" s="224"/>
      <c r="D13" s="18"/>
      <c r="E13" s="18"/>
      <c r="F13" s="18">
        <v>5.9</v>
      </c>
      <c r="G13" s="15"/>
      <c r="H13" s="56"/>
      <c r="J13" s="20"/>
    </row>
    <row r="14" spans="1:13" ht="32.25" customHeight="1">
      <c r="A14" s="16">
        <v>5</v>
      </c>
      <c r="B14" s="17" t="s">
        <v>188</v>
      </c>
      <c r="C14" s="224"/>
      <c r="D14" s="18">
        <v>48.3</v>
      </c>
      <c r="E14" s="18">
        <v>48</v>
      </c>
      <c r="F14" s="18">
        <v>69.5</v>
      </c>
      <c r="G14" s="15">
        <f t="shared" si="0"/>
        <v>21.5</v>
      </c>
      <c r="H14" s="56">
        <f t="shared" si="1"/>
        <v>144.79166666666669</v>
      </c>
    </row>
    <row r="15" spans="1:13" ht="33" customHeight="1">
      <c r="A15" s="16">
        <v>6</v>
      </c>
      <c r="B15" s="17" t="s">
        <v>189</v>
      </c>
      <c r="C15" s="224"/>
      <c r="D15" s="18">
        <v>391.9</v>
      </c>
      <c r="E15" s="18"/>
      <c r="F15" s="18">
        <v>395.1</v>
      </c>
      <c r="G15" s="15">
        <f t="shared" si="0"/>
        <v>395.1</v>
      </c>
      <c r="H15" s="56" t="e">
        <f t="shared" si="1"/>
        <v>#DIV/0!</v>
      </c>
      <c r="J15" s="20"/>
    </row>
    <row r="16" spans="1:13" ht="30.75" customHeight="1">
      <c r="A16" s="16">
        <v>7</v>
      </c>
      <c r="B16" s="17" t="s">
        <v>190</v>
      </c>
      <c r="C16" s="224"/>
      <c r="D16" s="18">
        <v>3576.8</v>
      </c>
      <c r="E16" s="18"/>
      <c r="F16" s="18">
        <v>3193.8</v>
      </c>
      <c r="G16" s="15">
        <f t="shared" si="0"/>
        <v>3193.8</v>
      </c>
      <c r="H16" s="56" t="e">
        <f t="shared" si="1"/>
        <v>#DIV/0!</v>
      </c>
      <c r="I16" s="118"/>
      <c r="J16" s="20"/>
    </row>
    <row r="17" spans="1:11" ht="30.75" customHeight="1">
      <c r="A17" s="245" t="s">
        <v>77</v>
      </c>
      <c r="B17" s="245"/>
      <c r="C17" s="224">
        <v>1130</v>
      </c>
      <c r="D17" s="14">
        <f>D18</f>
        <v>95.3</v>
      </c>
      <c r="E17" s="14">
        <f>E18</f>
        <v>347</v>
      </c>
      <c r="F17" s="14">
        <f>F18</f>
        <v>772.8</v>
      </c>
      <c r="G17" s="19">
        <f t="shared" si="0"/>
        <v>425.79999999999995</v>
      </c>
      <c r="H17" s="19">
        <f t="shared" si="1"/>
        <v>222.70893371757924</v>
      </c>
    </row>
    <row r="18" spans="1:11" ht="45" customHeight="1">
      <c r="A18" s="16">
        <v>1</v>
      </c>
      <c r="B18" s="21" t="s">
        <v>191</v>
      </c>
      <c r="C18" s="11"/>
      <c r="D18" s="18">
        <v>95.3</v>
      </c>
      <c r="E18" s="18">
        <v>347</v>
      </c>
      <c r="F18" s="18">
        <v>772.8</v>
      </c>
      <c r="G18" s="15">
        <f t="shared" si="0"/>
        <v>425.79999999999995</v>
      </c>
      <c r="H18" s="15">
        <f t="shared" si="1"/>
        <v>222.70893371757924</v>
      </c>
    </row>
    <row r="19" spans="1:11" ht="30.75" customHeight="1">
      <c r="A19" s="245" t="s">
        <v>27</v>
      </c>
      <c r="B19" s="245"/>
      <c r="C19" s="224">
        <v>1150</v>
      </c>
      <c r="D19" s="14">
        <f>SUM(D20:D20)</f>
        <v>2877.7</v>
      </c>
      <c r="E19" s="14">
        <f>SUM(E20:E20)</f>
        <v>2258</v>
      </c>
      <c r="F19" s="14">
        <f>SUM(F20:F20)</f>
        <v>3965.7</v>
      </c>
      <c r="G19" s="19">
        <f t="shared" si="0"/>
        <v>1707.6999999999998</v>
      </c>
      <c r="H19" s="19">
        <f t="shared" si="1"/>
        <v>175.62887511071744</v>
      </c>
      <c r="I19" s="118"/>
      <c r="J19" s="20"/>
    </row>
    <row r="20" spans="1:11" ht="41.25" customHeight="1">
      <c r="A20" s="4">
        <v>2</v>
      </c>
      <c r="B20" s="17" t="s">
        <v>204</v>
      </c>
      <c r="C20" s="224"/>
      <c r="D20" s="18">
        <v>2877.7</v>
      </c>
      <c r="E20" s="18">
        <v>2258</v>
      </c>
      <c r="F20" s="18">
        <v>3965.7</v>
      </c>
      <c r="G20" s="15">
        <f t="shared" si="0"/>
        <v>1707.6999999999998</v>
      </c>
      <c r="H20" s="15">
        <f t="shared" si="1"/>
        <v>175.62887511071744</v>
      </c>
    </row>
    <row r="21" spans="1:11" ht="35.25" customHeight="1">
      <c r="A21" s="252" t="s">
        <v>78</v>
      </c>
      <c r="B21" s="252"/>
      <c r="C21" s="224"/>
      <c r="D21" s="14"/>
      <c r="E21" s="14"/>
      <c r="F21" s="14"/>
      <c r="G21" s="15"/>
      <c r="H21" s="15"/>
    </row>
    <row r="22" spans="1:11" ht="48" customHeight="1">
      <c r="A22" s="246" t="s">
        <v>79</v>
      </c>
      <c r="B22" s="246"/>
      <c r="C22" s="11"/>
      <c r="D22" s="14"/>
      <c r="E22" s="14"/>
      <c r="F22" s="14"/>
      <c r="G22" s="15"/>
      <c r="H22" s="15"/>
    </row>
    <row r="23" spans="1:11" ht="34.5" customHeight="1">
      <c r="A23" s="253" t="s">
        <v>80</v>
      </c>
      <c r="B23" s="253"/>
      <c r="C23" s="224">
        <v>1011</v>
      </c>
      <c r="D23" s="14">
        <f>SUM(D24:D32)</f>
        <v>13154.7</v>
      </c>
      <c r="E23" s="14">
        <f>SUM(E24:E32)</f>
        <v>12540</v>
      </c>
      <c r="F23" s="14">
        <f>SUM(F24:F32)</f>
        <v>15595.9</v>
      </c>
      <c r="G23" s="19">
        <f>F23-E23</f>
        <v>3055.8999999999996</v>
      </c>
      <c r="H23" s="19">
        <f>(F23/E23)*100</f>
        <v>124.36921850079744</v>
      </c>
      <c r="I23" s="118"/>
      <c r="J23" s="20"/>
      <c r="K23" s="36"/>
    </row>
    <row r="24" spans="1:11" ht="45.75" customHeight="1">
      <c r="A24" s="224"/>
      <c r="B24" s="17" t="s">
        <v>176</v>
      </c>
      <c r="C24" s="224"/>
      <c r="D24" s="18">
        <v>2890.7</v>
      </c>
      <c r="E24" s="288">
        <f>1375+1375</f>
        <v>2750</v>
      </c>
      <c r="F24" s="18">
        <v>2941.5</v>
      </c>
      <c r="G24" s="15">
        <f t="shared" ref="G24:G25" si="2">F24-E24</f>
        <v>191.5</v>
      </c>
      <c r="H24" s="15">
        <f t="shared" ref="H24:H25" si="3">(F24/E24)*100</f>
        <v>106.96363636363637</v>
      </c>
      <c r="J24" s="20"/>
    </row>
    <row r="25" spans="1:11" ht="59.25" customHeight="1">
      <c r="A25" s="224"/>
      <c r="B25" s="17" t="s">
        <v>321</v>
      </c>
      <c r="C25" s="224"/>
      <c r="D25" s="18">
        <v>811.9</v>
      </c>
      <c r="E25" s="288"/>
      <c r="F25" s="18">
        <v>0</v>
      </c>
      <c r="G25" s="15">
        <f t="shared" si="2"/>
        <v>0</v>
      </c>
      <c r="H25" s="56" t="e">
        <f t="shared" si="3"/>
        <v>#DIV/0!</v>
      </c>
      <c r="J25" s="20"/>
    </row>
    <row r="26" spans="1:11" ht="29.25" customHeight="1">
      <c r="A26" s="224"/>
      <c r="B26" s="17" t="s">
        <v>178</v>
      </c>
      <c r="C26" s="224"/>
      <c r="D26" s="18">
        <v>152.9</v>
      </c>
      <c r="E26" s="288"/>
      <c r="F26" s="18">
        <v>0</v>
      </c>
      <c r="G26" s="15">
        <f t="shared" ref="G26:G89" si="4">F26-E26</f>
        <v>0</v>
      </c>
      <c r="H26" s="56" t="e">
        <f t="shared" ref="H26:H89" si="5">(F26/E26)*100</f>
        <v>#DIV/0!</v>
      </c>
      <c r="J26" s="20"/>
    </row>
    <row r="27" spans="1:11" ht="29.25" customHeight="1">
      <c r="A27" s="224"/>
      <c r="B27" s="17" t="s">
        <v>240</v>
      </c>
      <c r="C27" s="224"/>
      <c r="D27" s="18">
        <v>183</v>
      </c>
      <c r="E27" s="288"/>
      <c r="F27" s="18">
        <v>0</v>
      </c>
      <c r="G27" s="15">
        <f t="shared" si="4"/>
        <v>0</v>
      </c>
      <c r="H27" s="56" t="e">
        <f t="shared" si="5"/>
        <v>#DIV/0!</v>
      </c>
      <c r="J27" s="20"/>
    </row>
    <row r="28" spans="1:11" ht="32.25" customHeight="1">
      <c r="A28" s="224"/>
      <c r="B28" s="21" t="s">
        <v>192</v>
      </c>
      <c r="C28" s="224"/>
      <c r="D28" s="18">
        <v>7769.8</v>
      </c>
      <c r="E28" s="289">
        <f>4175+4175</f>
        <v>8350</v>
      </c>
      <c r="F28" s="18">
        <v>11168.3</v>
      </c>
      <c r="G28" s="15">
        <f t="shared" si="4"/>
        <v>2818.2999999999993</v>
      </c>
      <c r="H28" s="15">
        <f t="shared" si="5"/>
        <v>133.75209580838322</v>
      </c>
    </row>
    <row r="29" spans="1:11" ht="29.25" customHeight="1">
      <c r="A29" s="224"/>
      <c r="B29" s="17" t="s">
        <v>137</v>
      </c>
      <c r="C29" s="224"/>
      <c r="D29" s="18">
        <v>572.9</v>
      </c>
      <c r="E29" s="289">
        <f>304+304</f>
        <v>608</v>
      </c>
      <c r="F29" s="18">
        <v>597.20000000000005</v>
      </c>
      <c r="G29" s="15">
        <f t="shared" si="4"/>
        <v>-10.799999999999955</v>
      </c>
      <c r="H29" s="15">
        <f t="shared" si="5"/>
        <v>98.223684210526315</v>
      </c>
    </row>
    <row r="30" spans="1:11" ht="31.5" customHeight="1">
      <c r="A30" s="224"/>
      <c r="B30" s="21" t="s">
        <v>172</v>
      </c>
      <c r="C30" s="224"/>
      <c r="D30" s="18">
        <v>136.19999999999999</v>
      </c>
      <c r="E30" s="289">
        <f>151.5+151.5</f>
        <v>303</v>
      </c>
      <c r="F30" s="18">
        <v>217.8</v>
      </c>
      <c r="G30" s="15">
        <f t="shared" si="4"/>
        <v>-85.199999999999989</v>
      </c>
      <c r="H30" s="15">
        <f t="shared" si="5"/>
        <v>71.881188118811892</v>
      </c>
    </row>
    <row r="31" spans="1:11" ht="63" customHeight="1">
      <c r="A31" s="22"/>
      <c r="B31" s="17" t="s">
        <v>193</v>
      </c>
      <c r="C31" s="11"/>
      <c r="D31" s="18">
        <v>555.1</v>
      </c>
      <c r="E31" s="289">
        <f>190+190</f>
        <v>380</v>
      </c>
      <c r="F31" s="18">
        <v>520.4</v>
      </c>
      <c r="G31" s="15">
        <f t="shared" si="4"/>
        <v>140.39999999999998</v>
      </c>
      <c r="H31" s="15">
        <f t="shared" si="5"/>
        <v>136.94736842105263</v>
      </c>
    </row>
    <row r="32" spans="1:11" ht="39" customHeight="1">
      <c r="A32" s="22"/>
      <c r="B32" s="17" t="s">
        <v>159</v>
      </c>
      <c r="C32" s="11"/>
      <c r="D32" s="18">
        <v>82.2</v>
      </c>
      <c r="E32" s="289">
        <f>78+71</f>
        <v>149</v>
      </c>
      <c r="F32" s="18">
        <v>150.69999999999999</v>
      </c>
      <c r="G32" s="15">
        <f t="shared" si="4"/>
        <v>1.6999999999999886</v>
      </c>
      <c r="H32" s="15">
        <f t="shared" si="5"/>
        <v>101.14093959731542</v>
      </c>
    </row>
    <row r="33" spans="1:11" ht="35.25" customHeight="1">
      <c r="A33" s="253" t="s">
        <v>81</v>
      </c>
      <c r="B33" s="253"/>
      <c r="C33" s="224">
        <v>1015</v>
      </c>
      <c r="D33" s="14">
        <f>SUM(D34:D64)</f>
        <v>4931.3</v>
      </c>
      <c r="E33" s="290">
        <f>SUM(E34:E64)</f>
        <v>8653.2000000000007</v>
      </c>
      <c r="F33" s="14">
        <f>SUM(F34:F64)</f>
        <v>7277.2999999999993</v>
      </c>
      <c r="G33" s="19">
        <f t="shared" si="4"/>
        <v>-1375.9000000000015</v>
      </c>
      <c r="H33" s="19">
        <f t="shared" si="5"/>
        <v>84.099523875560465</v>
      </c>
      <c r="I33" s="118"/>
      <c r="J33" s="20"/>
      <c r="K33" s="20"/>
    </row>
    <row r="34" spans="1:11" ht="31.5" customHeight="1">
      <c r="A34" s="224"/>
      <c r="B34" s="23" t="s">
        <v>143</v>
      </c>
      <c r="C34" s="224"/>
      <c r="D34" s="18">
        <v>27.7</v>
      </c>
      <c r="E34" s="18">
        <f>18.7+18.8</f>
        <v>37.5</v>
      </c>
      <c r="F34" s="18">
        <v>0</v>
      </c>
      <c r="G34" s="15">
        <f t="shared" si="4"/>
        <v>-37.5</v>
      </c>
      <c r="H34" s="15">
        <f t="shared" si="5"/>
        <v>0</v>
      </c>
      <c r="K34" s="20"/>
    </row>
    <row r="35" spans="1:11" ht="30" customHeight="1">
      <c r="A35" s="224"/>
      <c r="B35" s="17" t="s">
        <v>144</v>
      </c>
      <c r="C35" s="224"/>
      <c r="D35" s="18">
        <v>177.5</v>
      </c>
      <c r="E35" s="18">
        <f>170.5+170.5</f>
        <v>341</v>
      </c>
      <c r="F35" s="18">
        <v>328.9</v>
      </c>
      <c r="G35" s="15">
        <f t="shared" si="4"/>
        <v>-12.100000000000023</v>
      </c>
      <c r="H35" s="15">
        <f t="shared" si="5"/>
        <v>96.451612903225808</v>
      </c>
    </row>
    <row r="36" spans="1:11" ht="25.5" customHeight="1">
      <c r="A36" s="224"/>
      <c r="B36" s="17" t="s">
        <v>145</v>
      </c>
      <c r="C36" s="224"/>
      <c r="D36" s="18">
        <v>49</v>
      </c>
      <c r="E36" s="18">
        <f>22.5+22.5</f>
        <v>45</v>
      </c>
      <c r="F36" s="18">
        <v>41.2</v>
      </c>
      <c r="G36" s="15">
        <f t="shared" si="4"/>
        <v>-3.7999999999999972</v>
      </c>
      <c r="H36" s="15">
        <f t="shared" si="5"/>
        <v>91.555555555555557</v>
      </c>
    </row>
    <row r="37" spans="1:11" ht="27.75" customHeight="1">
      <c r="A37" s="224"/>
      <c r="B37" s="17" t="s">
        <v>146</v>
      </c>
      <c r="C37" s="224"/>
      <c r="D37" s="18">
        <v>103.5</v>
      </c>
      <c r="E37" s="18">
        <f>582.5+582.5</f>
        <v>1165</v>
      </c>
      <c r="F37" s="18">
        <v>214.5</v>
      </c>
      <c r="G37" s="15">
        <f t="shared" si="4"/>
        <v>-950.5</v>
      </c>
      <c r="H37" s="15">
        <f t="shared" si="5"/>
        <v>18.412017167381975</v>
      </c>
    </row>
    <row r="38" spans="1:11" ht="27.75" customHeight="1">
      <c r="A38" s="224"/>
      <c r="B38" s="17" t="s">
        <v>284</v>
      </c>
      <c r="C38" s="224"/>
      <c r="D38" s="18"/>
      <c r="E38" s="18">
        <v>200</v>
      </c>
      <c r="F38" s="18">
        <v>0</v>
      </c>
      <c r="G38" s="15">
        <f t="shared" si="4"/>
        <v>-200</v>
      </c>
      <c r="H38" s="15">
        <f t="shared" si="5"/>
        <v>0</v>
      </c>
    </row>
    <row r="39" spans="1:11" ht="27.75" customHeight="1">
      <c r="A39" s="224"/>
      <c r="B39" s="17" t="s">
        <v>282</v>
      </c>
      <c r="C39" s="224"/>
      <c r="D39" s="18"/>
      <c r="E39" s="18"/>
      <c r="F39" s="18">
        <v>115.9</v>
      </c>
      <c r="G39" s="15">
        <f t="shared" si="4"/>
        <v>115.9</v>
      </c>
      <c r="H39" s="56" t="e">
        <f t="shared" si="5"/>
        <v>#DIV/0!</v>
      </c>
    </row>
    <row r="40" spans="1:11" ht="44.25" customHeight="1">
      <c r="A40" s="224"/>
      <c r="B40" s="17" t="s">
        <v>173</v>
      </c>
      <c r="C40" s="224"/>
      <c r="D40" s="18">
        <v>17.100000000000001</v>
      </c>
      <c r="E40" s="18">
        <f>25+25</f>
        <v>50</v>
      </c>
      <c r="F40" s="18">
        <v>11.2</v>
      </c>
      <c r="G40" s="15">
        <f t="shared" si="4"/>
        <v>-38.799999999999997</v>
      </c>
      <c r="H40" s="15">
        <f t="shared" si="5"/>
        <v>22.4</v>
      </c>
    </row>
    <row r="41" spans="1:11" ht="44.25" customHeight="1">
      <c r="A41" s="224"/>
      <c r="B41" s="23" t="s">
        <v>147</v>
      </c>
      <c r="C41" s="224"/>
      <c r="D41" s="18">
        <v>42.4</v>
      </c>
      <c r="E41" s="18">
        <f>320+320</f>
        <v>640</v>
      </c>
      <c r="F41" s="18">
        <v>502.2</v>
      </c>
      <c r="G41" s="15">
        <f t="shared" si="4"/>
        <v>-137.80000000000001</v>
      </c>
      <c r="H41" s="15">
        <f t="shared" si="5"/>
        <v>78.46875</v>
      </c>
    </row>
    <row r="42" spans="1:11" ht="28.5" customHeight="1">
      <c r="A42" s="24"/>
      <c r="B42" s="23" t="s">
        <v>148</v>
      </c>
      <c r="C42" s="11"/>
      <c r="D42" s="18">
        <v>53.5</v>
      </c>
      <c r="E42" s="18">
        <f>100</f>
        <v>100</v>
      </c>
      <c r="F42" s="18">
        <v>41.6</v>
      </c>
      <c r="G42" s="15">
        <f t="shared" si="4"/>
        <v>-58.4</v>
      </c>
      <c r="H42" s="15">
        <f t="shared" si="5"/>
        <v>41.6</v>
      </c>
    </row>
    <row r="43" spans="1:11" ht="28.5" customHeight="1">
      <c r="A43" s="24"/>
      <c r="B43" s="23" t="s">
        <v>225</v>
      </c>
      <c r="C43" s="11"/>
      <c r="D43" s="18">
        <v>12.7</v>
      </c>
      <c r="E43" s="18">
        <v>18</v>
      </c>
      <c r="F43" s="18">
        <v>18.3</v>
      </c>
      <c r="G43" s="15">
        <f t="shared" si="4"/>
        <v>0.30000000000000071</v>
      </c>
      <c r="H43" s="15">
        <f t="shared" si="5"/>
        <v>101.66666666666666</v>
      </c>
    </row>
    <row r="44" spans="1:11" ht="27" customHeight="1">
      <c r="A44" s="24"/>
      <c r="B44" s="23" t="s">
        <v>160</v>
      </c>
      <c r="C44" s="11"/>
      <c r="D44" s="18">
        <v>0.8</v>
      </c>
      <c r="E44" s="18">
        <f>2</f>
        <v>2</v>
      </c>
      <c r="F44" s="18">
        <v>1.8</v>
      </c>
      <c r="G44" s="15">
        <f t="shared" si="4"/>
        <v>-0.19999999999999996</v>
      </c>
      <c r="H44" s="15">
        <f t="shared" si="5"/>
        <v>90</v>
      </c>
    </row>
    <row r="45" spans="1:11" ht="28.5" customHeight="1">
      <c r="A45" s="24"/>
      <c r="B45" s="17" t="s">
        <v>194</v>
      </c>
      <c r="C45" s="11"/>
      <c r="D45" s="18">
        <v>52.6</v>
      </c>
      <c r="E45" s="18">
        <v>66</v>
      </c>
      <c r="F45" s="18">
        <v>67.400000000000006</v>
      </c>
      <c r="G45" s="15">
        <f t="shared" si="4"/>
        <v>1.4000000000000057</v>
      </c>
      <c r="H45" s="15">
        <f t="shared" si="5"/>
        <v>102.12121212121212</v>
      </c>
    </row>
    <row r="46" spans="1:11" ht="28.5" customHeight="1">
      <c r="A46" s="24"/>
      <c r="B46" s="17" t="s">
        <v>150</v>
      </c>
      <c r="C46" s="11"/>
      <c r="D46" s="18">
        <v>5.9</v>
      </c>
      <c r="E46" s="18"/>
      <c r="F46" s="18">
        <v>5.3</v>
      </c>
      <c r="G46" s="15">
        <f t="shared" si="4"/>
        <v>5.3</v>
      </c>
      <c r="H46" s="56" t="e">
        <f t="shared" si="5"/>
        <v>#DIV/0!</v>
      </c>
    </row>
    <row r="47" spans="1:11" ht="39" customHeight="1">
      <c r="A47" s="24"/>
      <c r="B47" s="23" t="s">
        <v>162</v>
      </c>
      <c r="C47" s="11"/>
      <c r="D47" s="18">
        <v>22.5</v>
      </c>
      <c r="E47" s="18">
        <f>18+18</f>
        <v>36</v>
      </c>
      <c r="F47" s="18">
        <v>9</v>
      </c>
      <c r="G47" s="15">
        <f t="shared" si="4"/>
        <v>-27</v>
      </c>
      <c r="H47" s="15">
        <f t="shared" si="5"/>
        <v>25</v>
      </c>
    </row>
    <row r="48" spans="1:11" ht="45.75" customHeight="1">
      <c r="A48" s="24"/>
      <c r="B48" s="23" t="s">
        <v>164</v>
      </c>
      <c r="C48" s="11"/>
      <c r="D48" s="18"/>
      <c r="E48" s="18">
        <f>49.5+49.5</f>
        <v>99</v>
      </c>
      <c r="F48" s="18">
        <v>0</v>
      </c>
      <c r="G48" s="15">
        <f t="shared" si="4"/>
        <v>-99</v>
      </c>
      <c r="H48" s="15">
        <f t="shared" si="5"/>
        <v>0</v>
      </c>
    </row>
    <row r="49" spans="1:14" ht="61.5" customHeight="1">
      <c r="A49" s="24"/>
      <c r="B49" s="23" t="s">
        <v>322</v>
      </c>
      <c r="C49" s="11"/>
      <c r="D49" s="18">
        <v>0.8</v>
      </c>
      <c r="E49" s="18">
        <v>5.5</v>
      </c>
      <c r="F49" s="18">
        <v>0.3</v>
      </c>
      <c r="G49" s="15">
        <f t="shared" si="4"/>
        <v>-5.2</v>
      </c>
      <c r="H49" s="15">
        <f t="shared" si="5"/>
        <v>5.4545454545454541</v>
      </c>
    </row>
    <row r="50" spans="1:14" ht="27.75" customHeight="1">
      <c r="A50" s="24"/>
      <c r="B50" s="25" t="s">
        <v>195</v>
      </c>
      <c r="C50" s="11"/>
      <c r="D50" s="18">
        <v>580.20000000000005</v>
      </c>
      <c r="E50" s="18">
        <f>135+135</f>
        <v>270</v>
      </c>
      <c r="F50" s="18">
        <v>404.1</v>
      </c>
      <c r="G50" s="15">
        <f t="shared" si="4"/>
        <v>134.10000000000002</v>
      </c>
      <c r="H50" s="15">
        <f t="shared" si="5"/>
        <v>149.66666666666669</v>
      </c>
      <c r="N50" s="20"/>
    </row>
    <row r="51" spans="1:14" ht="30.75" customHeight="1">
      <c r="A51" s="24"/>
      <c r="B51" s="17" t="s">
        <v>207</v>
      </c>
      <c r="C51" s="11"/>
      <c r="D51" s="18">
        <v>23.2</v>
      </c>
      <c r="E51" s="18">
        <f>12.5+12.5</f>
        <v>25</v>
      </c>
      <c r="F51" s="18">
        <v>21.5</v>
      </c>
      <c r="G51" s="15">
        <f t="shared" si="4"/>
        <v>-3.5</v>
      </c>
      <c r="H51" s="15">
        <f t="shared" si="5"/>
        <v>86</v>
      </c>
    </row>
    <row r="52" spans="1:14" ht="30.75" customHeight="1">
      <c r="A52" s="24"/>
      <c r="B52" s="17" t="s">
        <v>155</v>
      </c>
      <c r="C52" s="11"/>
      <c r="D52" s="18"/>
      <c r="E52" s="18"/>
      <c r="F52" s="18">
        <v>47.6</v>
      </c>
      <c r="G52" s="15">
        <f t="shared" si="4"/>
        <v>47.6</v>
      </c>
      <c r="H52" s="56" t="e">
        <f t="shared" si="5"/>
        <v>#DIV/0!</v>
      </c>
    </row>
    <row r="53" spans="1:14" ht="30" customHeight="1">
      <c r="A53" s="24"/>
      <c r="B53" s="23" t="s">
        <v>166</v>
      </c>
      <c r="C53" s="11"/>
      <c r="D53" s="18">
        <v>2811.1</v>
      </c>
      <c r="E53" s="18">
        <f>3081.6+1223.4</f>
        <v>4305</v>
      </c>
      <c r="F53" s="18">
        <v>3631.6</v>
      </c>
      <c r="G53" s="15">
        <f t="shared" si="4"/>
        <v>-673.40000000000009</v>
      </c>
      <c r="H53" s="56">
        <f t="shared" si="5"/>
        <v>84.35772357723576</v>
      </c>
    </row>
    <row r="54" spans="1:14" ht="31.5" customHeight="1">
      <c r="A54" s="24"/>
      <c r="B54" s="26" t="s">
        <v>167</v>
      </c>
      <c r="C54" s="11"/>
      <c r="D54" s="18">
        <v>178</v>
      </c>
      <c r="E54" s="18">
        <f>123+111.9</f>
        <v>234.9</v>
      </c>
      <c r="F54" s="18">
        <v>288.7</v>
      </c>
      <c r="G54" s="15">
        <f t="shared" si="4"/>
        <v>53.799999999999983</v>
      </c>
      <c r="H54" s="15">
        <f t="shared" si="5"/>
        <v>122.90336313324819</v>
      </c>
      <c r="K54" s="31"/>
    </row>
    <row r="55" spans="1:14" ht="32.25" customHeight="1">
      <c r="A55" s="24"/>
      <c r="B55" s="26" t="s">
        <v>168</v>
      </c>
      <c r="C55" s="11"/>
      <c r="D55" s="18">
        <v>635.4</v>
      </c>
      <c r="E55" s="18">
        <f>412.8+476.2</f>
        <v>889</v>
      </c>
      <c r="F55" s="18">
        <v>1334.1</v>
      </c>
      <c r="G55" s="15">
        <f t="shared" si="4"/>
        <v>445.09999999999991</v>
      </c>
      <c r="H55" s="15">
        <f t="shared" si="5"/>
        <v>150.06749156355454</v>
      </c>
      <c r="K55" s="31"/>
    </row>
    <row r="56" spans="1:14" ht="32.25" customHeight="1">
      <c r="A56" s="24"/>
      <c r="B56" s="26" t="s">
        <v>256</v>
      </c>
      <c r="C56" s="11"/>
      <c r="D56" s="18"/>
      <c r="E56" s="18">
        <f>4.7+2.2</f>
        <v>6.9</v>
      </c>
      <c r="F56" s="18"/>
      <c r="G56" s="15">
        <f t="shared" si="4"/>
        <v>-6.9</v>
      </c>
      <c r="H56" s="15">
        <f t="shared" si="5"/>
        <v>0</v>
      </c>
      <c r="K56" s="31"/>
    </row>
    <row r="57" spans="1:14" ht="27.75" customHeight="1">
      <c r="A57" s="24"/>
      <c r="B57" s="26" t="s">
        <v>169</v>
      </c>
      <c r="C57" s="11"/>
      <c r="D57" s="18">
        <v>102.6</v>
      </c>
      <c r="E57" s="18">
        <f>41.9+54.8</f>
        <v>96.699999999999989</v>
      </c>
      <c r="F57" s="18">
        <v>139.80000000000001</v>
      </c>
      <c r="G57" s="15">
        <f t="shared" si="4"/>
        <v>43.100000000000023</v>
      </c>
      <c r="H57" s="15">
        <f t="shared" si="5"/>
        <v>144.57083764219237</v>
      </c>
      <c r="K57" s="31"/>
    </row>
    <row r="58" spans="1:14" ht="43.5" customHeight="1">
      <c r="A58" s="24"/>
      <c r="B58" s="21" t="s">
        <v>323</v>
      </c>
      <c r="C58" s="11"/>
      <c r="D58" s="18">
        <v>13.6</v>
      </c>
      <c r="E58" s="18"/>
      <c r="F58" s="18">
        <v>0</v>
      </c>
      <c r="G58" s="15">
        <f t="shared" si="4"/>
        <v>0</v>
      </c>
      <c r="H58" s="56" t="e">
        <f t="shared" si="5"/>
        <v>#DIV/0!</v>
      </c>
      <c r="K58" s="31"/>
    </row>
    <row r="59" spans="1:14" ht="33.75" customHeight="1">
      <c r="A59" s="24"/>
      <c r="B59" s="21" t="s">
        <v>228</v>
      </c>
      <c r="C59" s="11"/>
      <c r="D59" s="18">
        <v>1.5</v>
      </c>
      <c r="E59" s="18"/>
      <c r="F59" s="18">
        <v>0</v>
      </c>
      <c r="G59" s="15">
        <f t="shared" si="4"/>
        <v>0</v>
      </c>
      <c r="H59" s="56" t="e">
        <f t="shared" si="5"/>
        <v>#DIV/0!</v>
      </c>
      <c r="K59" s="31"/>
    </row>
    <row r="60" spans="1:14" ht="33.75" customHeight="1">
      <c r="A60" s="24"/>
      <c r="B60" s="21" t="s">
        <v>425</v>
      </c>
      <c r="C60" s="11"/>
      <c r="D60" s="18"/>
      <c r="E60" s="18"/>
      <c r="F60" s="18">
        <v>5.6</v>
      </c>
      <c r="G60" s="15">
        <f t="shared" si="4"/>
        <v>5.6</v>
      </c>
      <c r="H60" s="56" t="e">
        <f t="shared" si="5"/>
        <v>#DIV/0!</v>
      </c>
      <c r="K60" s="31"/>
    </row>
    <row r="61" spans="1:14" ht="33" customHeight="1">
      <c r="A61" s="24"/>
      <c r="B61" s="17" t="s">
        <v>208</v>
      </c>
      <c r="C61" s="11"/>
      <c r="D61" s="18">
        <v>15.2</v>
      </c>
      <c r="E61" s="18"/>
      <c r="F61" s="18">
        <v>43.8</v>
      </c>
      <c r="G61" s="15">
        <f t="shared" si="4"/>
        <v>43.8</v>
      </c>
      <c r="H61" s="56" t="e">
        <f t="shared" si="5"/>
        <v>#DIV/0!</v>
      </c>
      <c r="K61" s="31"/>
      <c r="L61" s="20"/>
    </row>
    <row r="62" spans="1:14" ht="31.5" customHeight="1">
      <c r="A62" s="24"/>
      <c r="B62" s="26" t="s">
        <v>210</v>
      </c>
      <c r="C62" s="11"/>
      <c r="D62" s="18">
        <v>4.5</v>
      </c>
      <c r="E62" s="18">
        <v>4</v>
      </c>
      <c r="F62" s="18">
        <v>2.9</v>
      </c>
      <c r="G62" s="15">
        <f t="shared" si="4"/>
        <v>-1.1000000000000001</v>
      </c>
      <c r="H62" s="15">
        <f t="shared" si="5"/>
        <v>72.5</v>
      </c>
    </row>
    <row r="63" spans="1:14" ht="31.5" customHeight="1">
      <c r="A63" s="24"/>
      <c r="B63" s="26" t="s">
        <v>421</v>
      </c>
      <c r="C63" s="11"/>
      <c r="D63" s="18"/>
      <c r="E63" s="18">
        <v>1.5</v>
      </c>
      <c r="F63" s="18">
        <v>0</v>
      </c>
      <c r="G63" s="15">
        <f t="shared" si="4"/>
        <v>-1.5</v>
      </c>
      <c r="H63" s="15">
        <f t="shared" si="5"/>
        <v>0</v>
      </c>
    </row>
    <row r="64" spans="1:14" ht="31.5" customHeight="1">
      <c r="A64" s="24"/>
      <c r="B64" s="26" t="s">
        <v>252</v>
      </c>
      <c r="C64" s="11"/>
      <c r="D64" s="18"/>
      <c r="E64" s="18">
        <f>7.6+7.6</f>
        <v>15.2</v>
      </c>
      <c r="F64" s="18">
        <v>0</v>
      </c>
      <c r="G64" s="15">
        <f t="shared" si="4"/>
        <v>-15.2</v>
      </c>
      <c r="H64" s="15">
        <f t="shared" si="5"/>
        <v>0</v>
      </c>
    </row>
    <row r="65" spans="1:13" s="5" customFormat="1" ht="39" customHeight="1">
      <c r="A65" s="246" t="s">
        <v>82</v>
      </c>
      <c r="B65" s="246"/>
      <c r="C65" s="27"/>
      <c r="D65" s="14"/>
      <c r="E65" s="14"/>
      <c r="F65" s="14"/>
      <c r="G65" s="15"/>
      <c r="H65" s="15"/>
      <c r="I65" s="83"/>
    </row>
    <row r="66" spans="1:13" s="5" customFormat="1" ht="32.25" customHeight="1">
      <c r="A66" s="253" t="s">
        <v>80</v>
      </c>
      <c r="B66" s="253"/>
      <c r="C66" s="224">
        <v>1021</v>
      </c>
      <c r="D66" s="14">
        <f>SUM(D67:D69)</f>
        <v>33.9</v>
      </c>
      <c r="E66" s="14">
        <f>SUM(E67:E69)</f>
        <v>7.6</v>
      </c>
      <c r="F66" s="14">
        <f>SUM(F67:F69)</f>
        <v>27.6</v>
      </c>
      <c r="G66" s="15">
        <f t="shared" si="4"/>
        <v>20</v>
      </c>
      <c r="H66" s="15">
        <f t="shared" si="5"/>
        <v>363.15789473684214</v>
      </c>
      <c r="I66" s="83"/>
    </row>
    <row r="67" spans="1:13" s="5" customFormat="1" ht="63" customHeight="1">
      <c r="A67" s="224"/>
      <c r="B67" s="17" t="s">
        <v>193</v>
      </c>
      <c r="C67" s="224"/>
      <c r="D67" s="18">
        <v>9.4</v>
      </c>
      <c r="E67" s="18">
        <f>3.8+3.8</f>
        <v>7.6</v>
      </c>
      <c r="F67" s="18">
        <v>0</v>
      </c>
      <c r="G67" s="15">
        <f t="shared" si="4"/>
        <v>-7.6</v>
      </c>
      <c r="H67" s="15">
        <f t="shared" si="5"/>
        <v>0</v>
      </c>
      <c r="I67" s="83"/>
      <c r="K67" s="28"/>
    </row>
    <row r="68" spans="1:13" s="5" customFormat="1" ht="35.25" customHeight="1">
      <c r="A68" s="224"/>
      <c r="B68" s="17" t="s">
        <v>172</v>
      </c>
      <c r="C68" s="224"/>
      <c r="D68" s="18">
        <v>7.6</v>
      </c>
      <c r="E68" s="18"/>
      <c r="F68" s="18">
        <v>27.6</v>
      </c>
      <c r="G68" s="15">
        <f t="shared" si="4"/>
        <v>27.6</v>
      </c>
      <c r="H68" s="56" t="e">
        <f t="shared" si="5"/>
        <v>#DIV/0!</v>
      </c>
      <c r="I68" s="83"/>
      <c r="K68" s="28"/>
    </row>
    <row r="69" spans="1:13" s="5" customFormat="1" ht="39.75" customHeight="1">
      <c r="A69" s="224"/>
      <c r="B69" s="17" t="s">
        <v>159</v>
      </c>
      <c r="C69" s="224"/>
      <c r="D69" s="18">
        <v>16.899999999999999</v>
      </c>
      <c r="E69" s="18"/>
      <c r="F69" s="18">
        <v>0</v>
      </c>
      <c r="G69" s="15">
        <f t="shared" si="4"/>
        <v>0</v>
      </c>
      <c r="H69" s="192" t="e">
        <f t="shared" si="5"/>
        <v>#DIV/0!</v>
      </c>
      <c r="I69" s="83"/>
    </row>
    <row r="70" spans="1:13" s="5" customFormat="1" ht="31.5" customHeight="1">
      <c r="A70" s="253" t="s">
        <v>83</v>
      </c>
      <c r="B70" s="253"/>
      <c r="C70" s="27">
        <v>1025</v>
      </c>
      <c r="D70" s="14">
        <f>SUM(D71:D89)</f>
        <v>495.00000000000006</v>
      </c>
      <c r="E70" s="290">
        <f>SUM(E71:E89)</f>
        <v>530.09999999999991</v>
      </c>
      <c r="F70" s="14">
        <f>SUM(F71:F89)</f>
        <v>722.2</v>
      </c>
      <c r="G70" s="19">
        <f t="shared" si="4"/>
        <v>192.10000000000014</v>
      </c>
      <c r="H70" s="19">
        <f t="shared" si="5"/>
        <v>136.23844557630639</v>
      </c>
      <c r="I70" s="83"/>
      <c r="J70" s="28"/>
    </row>
    <row r="71" spans="1:13" s="5" customFormat="1" ht="31.5" customHeight="1">
      <c r="A71" s="224"/>
      <c r="B71" s="17" t="s">
        <v>150</v>
      </c>
      <c r="C71" s="27"/>
      <c r="D71" s="18">
        <v>40.9</v>
      </c>
      <c r="E71" s="18">
        <f>45+45</f>
        <v>90</v>
      </c>
      <c r="F71" s="18">
        <v>78</v>
      </c>
      <c r="G71" s="15">
        <f t="shared" si="4"/>
        <v>-12</v>
      </c>
      <c r="H71" s="15">
        <f t="shared" si="5"/>
        <v>86.666666666666671</v>
      </c>
      <c r="I71" s="83"/>
      <c r="J71" s="28"/>
    </row>
    <row r="72" spans="1:13" s="5" customFormat="1" ht="31.5" customHeight="1">
      <c r="A72" s="224"/>
      <c r="B72" s="17" t="s">
        <v>155</v>
      </c>
      <c r="C72" s="27"/>
      <c r="D72" s="18">
        <v>18.8</v>
      </c>
      <c r="E72" s="18">
        <f>3</f>
        <v>3</v>
      </c>
      <c r="F72" s="18">
        <v>14.7</v>
      </c>
      <c r="G72" s="15">
        <f t="shared" si="4"/>
        <v>11.7</v>
      </c>
      <c r="H72" s="15">
        <f t="shared" si="5"/>
        <v>489.99999999999994</v>
      </c>
      <c r="I72" s="83"/>
      <c r="M72" s="28"/>
    </row>
    <row r="73" spans="1:13" s="5" customFormat="1" ht="52.5" customHeight="1">
      <c r="A73" s="224"/>
      <c r="B73" s="17" t="s">
        <v>164</v>
      </c>
      <c r="C73" s="27"/>
      <c r="D73" s="18">
        <v>32.4</v>
      </c>
      <c r="E73" s="18">
        <f>21+28</f>
        <v>49</v>
      </c>
      <c r="F73" s="18">
        <v>52.4</v>
      </c>
      <c r="G73" s="15">
        <f t="shared" si="4"/>
        <v>3.3999999999999986</v>
      </c>
      <c r="H73" s="15">
        <f t="shared" si="5"/>
        <v>106.93877551020408</v>
      </c>
      <c r="I73" s="83"/>
    </row>
    <row r="74" spans="1:13" s="5" customFormat="1" ht="33.75" customHeight="1">
      <c r="A74" s="224"/>
      <c r="B74" s="17" t="s">
        <v>162</v>
      </c>
      <c r="C74" s="27"/>
      <c r="D74" s="18">
        <v>4.5999999999999996</v>
      </c>
      <c r="E74" s="18">
        <v>16</v>
      </c>
      <c r="F74" s="18">
        <v>45.2</v>
      </c>
      <c r="G74" s="15">
        <f t="shared" si="4"/>
        <v>29.200000000000003</v>
      </c>
      <c r="H74" s="15">
        <f t="shared" si="5"/>
        <v>282.5</v>
      </c>
      <c r="I74" s="83"/>
    </row>
    <row r="75" spans="1:13" s="5" customFormat="1" ht="28.5" customHeight="1">
      <c r="A75" s="224"/>
      <c r="B75" s="17" t="s">
        <v>185</v>
      </c>
      <c r="C75" s="27"/>
      <c r="D75" s="18">
        <v>4.3</v>
      </c>
      <c r="E75" s="18">
        <f>4.2</f>
        <v>4.2</v>
      </c>
      <c r="F75" s="18">
        <v>7.4</v>
      </c>
      <c r="G75" s="15">
        <f t="shared" si="4"/>
        <v>3.2</v>
      </c>
      <c r="H75" s="15">
        <f t="shared" si="5"/>
        <v>176.19047619047618</v>
      </c>
      <c r="I75" s="83"/>
    </row>
    <row r="76" spans="1:13" s="5" customFormat="1" ht="27" customHeight="1">
      <c r="A76" s="224"/>
      <c r="B76" s="17" t="s">
        <v>166</v>
      </c>
      <c r="C76" s="27"/>
      <c r="D76" s="18">
        <v>101</v>
      </c>
      <c r="E76" s="18">
        <f>69.2+27.5</f>
        <v>96.7</v>
      </c>
      <c r="F76" s="18">
        <v>193.6</v>
      </c>
      <c r="G76" s="15">
        <f t="shared" si="4"/>
        <v>96.899999999999991</v>
      </c>
      <c r="H76" s="15">
        <f t="shared" si="5"/>
        <v>200.2068252326784</v>
      </c>
      <c r="I76" s="83"/>
    </row>
    <row r="77" spans="1:13" s="5" customFormat="1" ht="28.5" customHeight="1">
      <c r="A77" s="224"/>
      <c r="B77" s="17" t="s">
        <v>167</v>
      </c>
      <c r="C77" s="27"/>
      <c r="D77" s="18">
        <v>3.3</v>
      </c>
      <c r="E77" s="18">
        <f>2.7+2.5</f>
        <v>5.2</v>
      </c>
      <c r="F77" s="18">
        <v>3.6</v>
      </c>
      <c r="G77" s="15">
        <f t="shared" si="4"/>
        <v>-1.6</v>
      </c>
      <c r="H77" s="15">
        <f t="shared" si="5"/>
        <v>69.230769230769226</v>
      </c>
      <c r="I77" s="83"/>
    </row>
    <row r="78" spans="1:13" s="5" customFormat="1" ht="30" customHeight="1">
      <c r="A78" s="224"/>
      <c r="B78" s="17" t="s">
        <v>168</v>
      </c>
      <c r="C78" s="27"/>
      <c r="D78" s="18">
        <v>80.3</v>
      </c>
      <c r="E78" s="18">
        <f>9.2+10.6</f>
        <v>19.799999999999997</v>
      </c>
      <c r="F78" s="18">
        <v>30.5</v>
      </c>
      <c r="G78" s="15">
        <f t="shared" si="4"/>
        <v>10.700000000000003</v>
      </c>
      <c r="H78" s="15">
        <f t="shared" si="5"/>
        <v>154.04040404040407</v>
      </c>
      <c r="I78" s="83"/>
    </row>
    <row r="79" spans="1:13" s="5" customFormat="1" ht="27" customHeight="1">
      <c r="A79" s="224"/>
      <c r="B79" s="17" t="s">
        <v>169</v>
      </c>
      <c r="C79" s="27"/>
      <c r="D79" s="18">
        <v>1.9</v>
      </c>
      <c r="E79" s="18">
        <f>2.2</f>
        <v>2.2000000000000002</v>
      </c>
      <c r="F79" s="18">
        <v>1.7</v>
      </c>
      <c r="G79" s="15">
        <f t="shared" si="4"/>
        <v>-0.50000000000000022</v>
      </c>
      <c r="H79" s="15">
        <f t="shared" si="5"/>
        <v>77.272727272727266</v>
      </c>
      <c r="I79" s="83"/>
    </row>
    <row r="80" spans="1:13" s="5" customFormat="1" ht="27" customHeight="1">
      <c r="A80" s="224"/>
      <c r="B80" s="17" t="s">
        <v>257</v>
      </c>
      <c r="C80" s="27"/>
      <c r="D80" s="18"/>
      <c r="E80" s="18">
        <f>4</f>
        <v>4</v>
      </c>
      <c r="F80" s="18"/>
      <c r="G80" s="15">
        <f t="shared" si="4"/>
        <v>-4</v>
      </c>
      <c r="H80" s="15">
        <f t="shared" si="5"/>
        <v>0</v>
      </c>
      <c r="I80" s="83"/>
    </row>
    <row r="81" spans="1:11" s="5" customFormat="1" ht="27" customHeight="1">
      <c r="A81" s="224"/>
      <c r="B81" s="17" t="s">
        <v>249</v>
      </c>
      <c r="C81" s="27"/>
      <c r="D81" s="18"/>
      <c r="E81" s="18"/>
      <c r="F81" s="18">
        <v>3.6</v>
      </c>
      <c r="G81" s="15">
        <f t="shared" si="4"/>
        <v>3.6</v>
      </c>
      <c r="H81" s="15" t="e">
        <f t="shared" si="5"/>
        <v>#DIV/0!</v>
      </c>
      <c r="I81" s="83"/>
    </row>
    <row r="82" spans="1:11" s="5" customFormat="1" ht="27" customHeight="1">
      <c r="A82" s="224"/>
      <c r="B82" s="17" t="s">
        <v>426</v>
      </c>
      <c r="C82" s="27"/>
      <c r="D82" s="18"/>
      <c r="E82" s="18"/>
      <c r="F82" s="18">
        <v>39.799999999999997</v>
      </c>
      <c r="G82" s="15">
        <f t="shared" si="4"/>
        <v>39.799999999999997</v>
      </c>
      <c r="H82" s="15" t="e">
        <f t="shared" si="5"/>
        <v>#DIV/0!</v>
      </c>
      <c r="I82" s="83"/>
    </row>
    <row r="83" spans="1:11" s="5" customFormat="1" ht="27" customHeight="1">
      <c r="A83" s="224"/>
      <c r="B83" s="17" t="s">
        <v>248</v>
      </c>
      <c r="C83" s="27"/>
      <c r="D83" s="18"/>
      <c r="E83" s="18"/>
      <c r="F83" s="18">
        <v>9</v>
      </c>
      <c r="G83" s="15">
        <f t="shared" si="4"/>
        <v>9</v>
      </c>
      <c r="H83" s="15" t="e">
        <f t="shared" si="5"/>
        <v>#DIV/0!</v>
      </c>
      <c r="I83" s="83"/>
    </row>
    <row r="84" spans="1:11" s="5" customFormat="1" ht="31.5" customHeight="1">
      <c r="A84" s="224"/>
      <c r="B84" s="17" t="s">
        <v>165</v>
      </c>
      <c r="C84" s="27"/>
      <c r="D84" s="18">
        <v>3.1</v>
      </c>
      <c r="E84" s="18"/>
      <c r="F84" s="18">
        <v>6.2</v>
      </c>
      <c r="G84" s="15">
        <f t="shared" si="4"/>
        <v>6.2</v>
      </c>
      <c r="H84" s="56" t="e">
        <f t="shared" si="5"/>
        <v>#DIV/0!</v>
      </c>
      <c r="I84" s="83"/>
    </row>
    <row r="85" spans="1:11" s="5" customFormat="1" ht="27" customHeight="1">
      <c r="A85" s="224"/>
      <c r="B85" s="17" t="s">
        <v>221</v>
      </c>
      <c r="C85" s="27"/>
      <c r="D85" s="18">
        <v>198</v>
      </c>
      <c r="E85" s="18">
        <f>105+105</f>
        <v>210</v>
      </c>
      <c r="F85" s="18">
        <v>198</v>
      </c>
      <c r="G85" s="15">
        <f t="shared" si="4"/>
        <v>-12</v>
      </c>
      <c r="H85" s="56">
        <f t="shared" si="5"/>
        <v>94.285714285714278</v>
      </c>
      <c r="I85" s="83"/>
    </row>
    <row r="86" spans="1:11" s="5" customFormat="1" ht="28.5" customHeight="1">
      <c r="A86" s="224"/>
      <c r="B86" s="17" t="s">
        <v>170</v>
      </c>
      <c r="C86" s="27"/>
      <c r="D86" s="18">
        <v>1</v>
      </c>
      <c r="E86" s="18"/>
      <c r="F86" s="18">
        <v>1.1000000000000001</v>
      </c>
      <c r="G86" s="15">
        <f t="shared" si="4"/>
        <v>1.1000000000000001</v>
      </c>
      <c r="H86" s="56" t="e">
        <f t="shared" si="5"/>
        <v>#DIV/0!</v>
      </c>
      <c r="I86" s="83"/>
    </row>
    <row r="87" spans="1:11" s="5" customFormat="1" ht="36.75" customHeight="1">
      <c r="A87" s="224"/>
      <c r="B87" s="17" t="s">
        <v>422</v>
      </c>
      <c r="C87" s="27"/>
      <c r="D87" s="18"/>
      <c r="E87" s="18">
        <f>30</f>
        <v>30</v>
      </c>
      <c r="F87" s="18">
        <v>23.1</v>
      </c>
      <c r="G87" s="15">
        <f t="shared" si="4"/>
        <v>-6.8999999999999986</v>
      </c>
      <c r="H87" s="56">
        <f t="shared" si="5"/>
        <v>77</v>
      </c>
      <c r="I87" s="83"/>
    </row>
    <row r="88" spans="1:11" s="5" customFormat="1" ht="31.5" customHeight="1">
      <c r="A88" s="224"/>
      <c r="B88" s="17" t="s">
        <v>244</v>
      </c>
      <c r="C88" s="27"/>
      <c r="D88" s="18">
        <v>3.1</v>
      </c>
      <c r="E88" s="18"/>
      <c r="F88" s="18">
        <v>14.3</v>
      </c>
      <c r="G88" s="15">
        <f t="shared" si="4"/>
        <v>14.3</v>
      </c>
      <c r="H88" s="56" t="e">
        <f t="shared" si="5"/>
        <v>#DIV/0!</v>
      </c>
      <c r="I88" s="83"/>
    </row>
    <row r="89" spans="1:11" s="5" customFormat="1" ht="31.5" customHeight="1">
      <c r="A89" s="224"/>
      <c r="B89" s="17" t="s">
        <v>229</v>
      </c>
      <c r="C89" s="27"/>
      <c r="D89" s="18">
        <v>2.2999999999999998</v>
      </c>
      <c r="E89" s="18"/>
      <c r="F89" s="18"/>
      <c r="G89" s="15">
        <f t="shared" si="4"/>
        <v>0</v>
      </c>
      <c r="H89" s="56" t="e">
        <f t="shared" si="5"/>
        <v>#DIV/0!</v>
      </c>
      <c r="I89" s="83"/>
    </row>
    <row r="90" spans="1:11" s="5" customFormat="1" ht="37.5" customHeight="1">
      <c r="A90" s="246" t="s">
        <v>119</v>
      </c>
      <c r="B90" s="246"/>
      <c r="C90" s="27"/>
      <c r="D90" s="18"/>
      <c r="E90" s="14"/>
      <c r="F90" s="14"/>
      <c r="G90" s="15">
        <f t="shared" ref="G90:G99" si="6">F90-E90</f>
        <v>0</v>
      </c>
      <c r="H90" s="15" t="e">
        <f t="shared" ref="H90:H99" si="7">(F90/E90)*100</f>
        <v>#DIV/0!</v>
      </c>
      <c r="I90" s="83"/>
    </row>
    <row r="91" spans="1:11" s="5" customFormat="1" ht="37.5" customHeight="1">
      <c r="A91" s="246" t="s">
        <v>93</v>
      </c>
      <c r="B91" s="246"/>
      <c r="C91" s="27">
        <v>1035</v>
      </c>
      <c r="D91" s="14">
        <f>SUM(D92:D99)</f>
        <v>113.79999999999998</v>
      </c>
      <c r="E91" s="14">
        <f>SUM(E92:E99)</f>
        <v>140.19999999999999</v>
      </c>
      <c r="F91" s="14">
        <f>SUM(F92:F99)</f>
        <v>100.30000000000001</v>
      </c>
      <c r="G91" s="19">
        <f t="shared" si="6"/>
        <v>-39.899999999999977</v>
      </c>
      <c r="H91" s="19">
        <f t="shared" si="7"/>
        <v>71.540656205420845</v>
      </c>
      <c r="I91" s="83"/>
      <c r="J91" s="28"/>
    </row>
    <row r="92" spans="1:11" s="5" customFormat="1" ht="32.25" customHeight="1">
      <c r="A92" s="223"/>
      <c r="B92" s="17" t="s">
        <v>166</v>
      </c>
      <c r="C92" s="27"/>
      <c r="D92" s="18">
        <v>5.7</v>
      </c>
      <c r="E92" s="18">
        <f>4</f>
        <v>4</v>
      </c>
      <c r="F92" s="18">
        <v>2.4</v>
      </c>
      <c r="G92" s="15">
        <f t="shared" si="6"/>
        <v>-1.6</v>
      </c>
      <c r="H92" s="15">
        <f t="shared" si="7"/>
        <v>60</v>
      </c>
      <c r="I92" s="83"/>
      <c r="J92" s="28"/>
    </row>
    <row r="93" spans="1:11" s="5" customFormat="1" ht="31.5" customHeight="1">
      <c r="A93" s="223"/>
      <c r="B93" s="17" t="s">
        <v>167</v>
      </c>
      <c r="C93" s="27"/>
      <c r="D93" s="18">
        <v>2.1</v>
      </c>
      <c r="E93" s="18">
        <f>2</f>
        <v>2</v>
      </c>
      <c r="F93" s="18">
        <v>7.1</v>
      </c>
      <c r="G93" s="15">
        <f t="shared" si="6"/>
        <v>5.0999999999999996</v>
      </c>
      <c r="H93" s="15">
        <f t="shared" si="7"/>
        <v>355</v>
      </c>
      <c r="I93" s="83"/>
      <c r="K93" s="28"/>
    </row>
    <row r="94" spans="1:11" s="5" customFormat="1" ht="30" customHeight="1">
      <c r="A94" s="223"/>
      <c r="B94" s="17" t="s">
        <v>168</v>
      </c>
      <c r="C94" s="27"/>
      <c r="D94" s="18">
        <v>40.5</v>
      </c>
      <c r="E94" s="18">
        <v>42</v>
      </c>
      <c r="F94" s="18">
        <v>42.1</v>
      </c>
      <c r="G94" s="15">
        <f t="shared" si="6"/>
        <v>0.10000000000000142</v>
      </c>
      <c r="H94" s="15">
        <f t="shared" si="7"/>
        <v>100.23809523809524</v>
      </c>
      <c r="I94" s="83"/>
    </row>
    <row r="95" spans="1:11" s="5" customFormat="1" ht="30" customHeight="1">
      <c r="A95" s="223"/>
      <c r="B95" s="17" t="s">
        <v>230</v>
      </c>
      <c r="C95" s="27"/>
      <c r="D95" s="18">
        <v>11.5</v>
      </c>
      <c r="E95" s="18">
        <f>7.5+7.5</f>
        <v>15</v>
      </c>
      <c r="F95" s="18"/>
      <c r="G95" s="15">
        <f t="shared" si="6"/>
        <v>-15</v>
      </c>
      <c r="H95" s="15">
        <f t="shared" si="7"/>
        <v>0</v>
      </c>
      <c r="I95" s="83"/>
    </row>
    <row r="96" spans="1:11" s="5" customFormat="1" ht="30" customHeight="1">
      <c r="A96" s="223"/>
      <c r="B96" s="17" t="s">
        <v>254</v>
      </c>
      <c r="C96" s="27"/>
      <c r="D96" s="18">
        <v>53.4</v>
      </c>
      <c r="E96" s="18"/>
      <c r="F96" s="18">
        <v>42.8</v>
      </c>
      <c r="G96" s="15">
        <f t="shared" si="6"/>
        <v>42.8</v>
      </c>
      <c r="H96" s="15" t="e">
        <f t="shared" si="7"/>
        <v>#DIV/0!</v>
      </c>
      <c r="I96" s="83"/>
    </row>
    <row r="97" spans="1:9" s="5" customFormat="1" ht="30" customHeight="1">
      <c r="A97" s="223"/>
      <c r="B97" s="17" t="s">
        <v>247</v>
      </c>
      <c r="C97" s="27"/>
      <c r="D97" s="18"/>
      <c r="E97" s="18"/>
      <c r="F97" s="18">
        <v>5.9</v>
      </c>
      <c r="G97" s="15">
        <f t="shared" si="6"/>
        <v>5.9</v>
      </c>
      <c r="H97" s="15" t="e">
        <f t="shared" si="7"/>
        <v>#DIV/0!</v>
      </c>
      <c r="I97" s="83"/>
    </row>
    <row r="98" spans="1:9" s="5" customFormat="1" ht="31.5" customHeight="1">
      <c r="A98" s="223"/>
      <c r="B98" s="17" t="s">
        <v>44</v>
      </c>
      <c r="C98" s="27"/>
      <c r="D98" s="18">
        <v>0.6</v>
      </c>
      <c r="E98" s="18"/>
      <c r="F98" s="18"/>
      <c r="G98" s="15">
        <f t="shared" si="6"/>
        <v>0</v>
      </c>
      <c r="H98" s="15" t="e">
        <f t="shared" si="7"/>
        <v>#DIV/0!</v>
      </c>
      <c r="I98" s="83"/>
    </row>
    <row r="99" spans="1:9" s="5" customFormat="1" ht="31.5" customHeight="1">
      <c r="A99" s="223"/>
      <c r="B99" s="17" t="s">
        <v>196</v>
      </c>
      <c r="C99" s="27"/>
      <c r="D99" s="18"/>
      <c r="E99" s="18">
        <f>38.6+38.6</f>
        <v>77.2</v>
      </c>
      <c r="F99" s="18"/>
      <c r="G99" s="15">
        <f t="shared" si="6"/>
        <v>-77.2</v>
      </c>
      <c r="H99" s="15">
        <f t="shared" si="7"/>
        <v>0</v>
      </c>
      <c r="I99" s="83"/>
    </row>
    <row r="100" spans="1:9">
      <c r="B100" s="7"/>
      <c r="D100" s="110"/>
      <c r="E100" s="6"/>
      <c r="F100" s="6"/>
    </row>
    <row r="101" spans="1:9" ht="24.75" customHeight="1">
      <c r="B101" s="29" t="s">
        <v>211</v>
      </c>
      <c r="C101" s="30"/>
      <c r="D101" s="250"/>
      <c r="E101" s="250"/>
      <c r="F101" s="247" t="s">
        <v>186</v>
      </c>
      <c r="G101" s="247"/>
      <c r="H101" s="247"/>
      <c r="I101" s="180"/>
    </row>
    <row r="102" spans="1:9">
      <c r="B102" s="220" t="s">
        <v>60</v>
      </c>
      <c r="C102" s="2"/>
      <c r="D102" s="251" t="s">
        <v>66</v>
      </c>
      <c r="E102" s="251"/>
      <c r="F102" s="248" t="s">
        <v>17</v>
      </c>
      <c r="G102" s="248"/>
      <c r="H102" s="248"/>
    </row>
    <row r="103" spans="1:9">
      <c r="B103" s="7"/>
      <c r="D103" s="110"/>
      <c r="E103" s="6"/>
      <c r="F103" s="6"/>
    </row>
    <row r="104" spans="1:9">
      <c r="B104" s="7"/>
      <c r="D104" s="110"/>
      <c r="E104" s="6"/>
      <c r="F104" s="6"/>
    </row>
    <row r="105" spans="1:9">
      <c r="B105" s="7"/>
      <c r="D105" s="110"/>
      <c r="E105" s="6"/>
      <c r="F105" s="6"/>
    </row>
    <row r="106" spans="1:9">
      <c r="B106" s="7"/>
      <c r="D106" s="110"/>
      <c r="E106" s="6"/>
      <c r="F106" s="6"/>
    </row>
    <row r="107" spans="1:9">
      <c r="B107" s="7"/>
      <c r="D107" s="110"/>
      <c r="E107" s="6"/>
      <c r="F107" s="6"/>
    </row>
    <row r="108" spans="1:9">
      <c r="B108" s="7"/>
      <c r="D108" s="110"/>
      <c r="E108" s="6"/>
      <c r="F108" s="6"/>
    </row>
    <row r="109" spans="1:9">
      <c r="B109" s="7"/>
      <c r="D109" s="110"/>
      <c r="E109" s="6"/>
      <c r="F109" s="6"/>
    </row>
    <row r="110" spans="1:9">
      <c r="B110" s="7"/>
      <c r="D110" s="110"/>
      <c r="E110" s="6"/>
      <c r="F110" s="6"/>
    </row>
    <row r="111" spans="1:9">
      <c r="B111" s="7"/>
      <c r="D111" s="110"/>
      <c r="E111" s="6"/>
      <c r="F111" s="6"/>
    </row>
    <row r="112" spans="1:9">
      <c r="B112" s="7"/>
      <c r="D112" s="110"/>
      <c r="E112" s="6"/>
      <c r="F112" s="6"/>
    </row>
    <row r="113" spans="2:6">
      <c r="B113" s="7"/>
      <c r="D113" s="110"/>
      <c r="E113" s="6"/>
      <c r="F113" s="6"/>
    </row>
    <row r="114" spans="2:6">
      <c r="B114" s="7"/>
      <c r="D114" s="110"/>
      <c r="E114" s="6"/>
      <c r="F114" s="6"/>
    </row>
    <row r="115" spans="2:6">
      <c r="B115" s="7"/>
      <c r="D115" s="110"/>
      <c r="E115" s="6"/>
      <c r="F115" s="6"/>
    </row>
    <row r="116" spans="2:6">
      <c r="B116" s="7"/>
      <c r="D116" s="110"/>
      <c r="E116" s="6"/>
      <c r="F116" s="6"/>
    </row>
    <row r="117" spans="2:6">
      <c r="B117" s="7"/>
      <c r="D117" s="110"/>
      <c r="E117" s="6"/>
      <c r="F117" s="6"/>
    </row>
    <row r="118" spans="2:6">
      <c r="B118" s="7"/>
      <c r="D118" s="110"/>
      <c r="E118" s="6"/>
      <c r="F118" s="6"/>
    </row>
    <row r="119" spans="2:6">
      <c r="B119" s="7"/>
      <c r="D119" s="110"/>
      <c r="E119" s="6"/>
      <c r="F119" s="6"/>
    </row>
    <row r="120" spans="2:6">
      <c r="B120" s="7"/>
      <c r="D120" s="110"/>
      <c r="E120" s="6"/>
      <c r="F120" s="6"/>
    </row>
    <row r="121" spans="2:6">
      <c r="B121" s="7"/>
      <c r="D121" s="110"/>
      <c r="E121" s="6"/>
      <c r="F121" s="6"/>
    </row>
    <row r="122" spans="2:6">
      <c r="B122" s="7"/>
      <c r="D122" s="110"/>
      <c r="E122" s="6"/>
      <c r="F122" s="6"/>
    </row>
    <row r="123" spans="2:6">
      <c r="B123" s="7"/>
      <c r="D123" s="110"/>
      <c r="E123" s="6"/>
      <c r="F123" s="6"/>
    </row>
    <row r="124" spans="2:6">
      <c r="B124" s="7"/>
      <c r="D124" s="110"/>
      <c r="E124" s="6"/>
      <c r="F124" s="6"/>
    </row>
    <row r="125" spans="2:6">
      <c r="B125" s="7"/>
      <c r="D125" s="110"/>
      <c r="E125" s="6"/>
      <c r="F125" s="6"/>
    </row>
    <row r="126" spans="2:6">
      <c r="B126" s="7"/>
      <c r="D126" s="110"/>
      <c r="E126" s="6"/>
      <c r="F126" s="6"/>
    </row>
    <row r="127" spans="2:6">
      <c r="B127" s="7"/>
      <c r="D127" s="110"/>
      <c r="E127" s="6"/>
      <c r="F127" s="6"/>
    </row>
    <row r="128" spans="2:6">
      <c r="B128" s="7"/>
      <c r="D128" s="110"/>
      <c r="E128" s="6"/>
      <c r="F128" s="6"/>
    </row>
    <row r="129" spans="2:6">
      <c r="B129" s="7"/>
      <c r="D129" s="110"/>
      <c r="E129" s="6"/>
      <c r="F129" s="6"/>
    </row>
    <row r="130" spans="2:6">
      <c r="B130" s="7"/>
      <c r="D130" s="110"/>
      <c r="E130" s="6"/>
      <c r="F130" s="6"/>
    </row>
    <row r="131" spans="2:6">
      <c r="B131" s="7"/>
      <c r="D131" s="110"/>
      <c r="E131" s="6"/>
      <c r="F131" s="6"/>
    </row>
    <row r="132" spans="2:6">
      <c r="B132" s="7"/>
      <c r="D132" s="110"/>
      <c r="E132" s="6"/>
      <c r="F132" s="6"/>
    </row>
    <row r="133" spans="2:6">
      <c r="B133" s="7"/>
      <c r="D133" s="110"/>
      <c r="E133" s="6"/>
      <c r="F133" s="6"/>
    </row>
    <row r="134" spans="2:6">
      <c r="B134" s="7"/>
      <c r="D134" s="110"/>
      <c r="E134" s="6"/>
      <c r="F134" s="6"/>
    </row>
    <row r="135" spans="2:6">
      <c r="B135" s="7"/>
      <c r="D135" s="110"/>
      <c r="E135" s="6"/>
      <c r="F135" s="6"/>
    </row>
    <row r="136" spans="2:6">
      <c r="B136" s="7"/>
      <c r="D136" s="110"/>
      <c r="E136" s="6"/>
      <c r="F136" s="6"/>
    </row>
    <row r="137" spans="2:6">
      <c r="B137" s="7"/>
      <c r="D137" s="110"/>
      <c r="E137" s="6"/>
      <c r="F137" s="6"/>
    </row>
    <row r="138" spans="2:6">
      <c r="B138" s="7"/>
      <c r="D138" s="110"/>
      <c r="E138" s="6"/>
      <c r="F138" s="6"/>
    </row>
    <row r="139" spans="2:6">
      <c r="B139" s="7"/>
      <c r="D139" s="110"/>
      <c r="E139" s="6"/>
      <c r="F139" s="6"/>
    </row>
    <row r="140" spans="2:6">
      <c r="B140" s="7"/>
      <c r="D140" s="110"/>
      <c r="E140" s="6"/>
      <c r="F140" s="6"/>
    </row>
    <row r="141" spans="2:6">
      <c r="B141" s="7"/>
      <c r="D141" s="110"/>
      <c r="E141" s="6"/>
      <c r="F141" s="6"/>
    </row>
    <row r="142" spans="2:6">
      <c r="B142" s="7"/>
      <c r="D142" s="110"/>
      <c r="E142" s="6"/>
      <c r="F142" s="6"/>
    </row>
    <row r="143" spans="2:6">
      <c r="B143" s="7"/>
      <c r="D143" s="110"/>
      <c r="E143" s="6"/>
      <c r="F143" s="6"/>
    </row>
    <row r="144" spans="2:6">
      <c r="B144" s="7"/>
      <c r="D144" s="110"/>
      <c r="E144" s="6"/>
      <c r="F144" s="6"/>
    </row>
    <row r="145" spans="2:6">
      <c r="B145" s="7"/>
      <c r="D145" s="110"/>
      <c r="E145" s="6"/>
      <c r="F145" s="6"/>
    </row>
    <row r="146" spans="2:6">
      <c r="B146" s="7"/>
      <c r="D146" s="110"/>
      <c r="E146" s="6"/>
      <c r="F146" s="6"/>
    </row>
    <row r="147" spans="2:6">
      <c r="B147" s="7"/>
      <c r="D147" s="110"/>
      <c r="E147" s="6"/>
      <c r="F147" s="6"/>
    </row>
    <row r="148" spans="2:6">
      <c r="B148" s="7"/>
      <c r="D148" s="110"/>
      <c r="E148" s="6"/>
      <c r="F148" s="6"/>
    </row>
    <row r="149" spans="2:6">
      <c r="B149" s="7"/>
      <c r="D149" s="110"/>
      <c r="E149" s="6"/>
      <c r="F149" s="6"/>
    </row>
    <row r="150" spans="2:6">
      <c r="B150" s="7"/>
      <c r="D150" s="110"/>
      <c r="E150" s="6"/>
      <c r="F150" s="6"/>
    </row>
    <row r="151" spans="2:6">
      <c r="B151" s="7"/>
      <c r="D151" s="110"/>
      <c r="E151" s="6"/>
      <c r="F151" s="6"/>
    </row>
    <row r="152" spans="2:6">
      <c r="B152" s="7"/>
      <c r="D152" s="110"/>
      <c r="E152" s="6"/>
      <c r="F152" s="6"/>
    </row>
    <row r="153" spans="2:6">
      <c r="B153" s="7"/>
      <c r="D153" s="110"/>
      <c r="E153" s="6"/>
      <c r="F153" s="6"/>
    </row>
    <row r="154" spans="2:6">
      <c r="B154" s="7"/>
      <c r="D154" s="110"/>
      <c r="E154" s="6"/>
      <c r="F154" s="6"/>
    </row>
    <row r="155" spans="2:6">
      <c r="B155" s="7"/>
      <c r="D155" s="110"/>
      <c r="E155" s="6"/>
      <c r="F155" s="6"/>
    </row>
    <row r="156" spans="2:6">
      <c r="B156" s="7"/>
      <c r="D156" s="110"/>
      <c r="E156" s="6"/>
      <c r="F156" s="6"/>
    </row>
    <row r="157" spans="2:6">
      <c r="B157" s="7"/>
    </row>
    <row r="158" spans="2:6">
      <c r="B158" s="8"/>
    </row>
    <row r="159" spans="2:6">
      <c r="B159" s="8"/>
    </row>
    <row r="160" spans="2:6">
      <c r="B160" s="8"/>
    </row>
    <row r="161" spans="2:2">
      <c r="B161" s="8"/>
    </row>
    <row r="162" spans="2:2">
      <c r="B162" s="8"/>
    </row>
    <row r="163" spans="2:2">
      <c r="B163" s="8"/>
    </row>
    <row r="164" spans="2:2">
      <c r="B164" s="8"/>
    </row>
    <row r="165" spans="2:2">
      <c r="B165" s="8"/>
    </row>
    <row r="166" spans="2:2">
      <c r="B166" s="8"/>
    </row>
    <row r="167" spans="2:2">
      <c r="B167" s="8"/>
    </row>
    <row r="168" spans="2:2">
      <c r="B168" s="8"/>
    </row>
    <row r="169" spans="2:2">
      <c r="B169" s="8"/>
    </row>
    <row r="170" spans="2:2">
      <c r="B170" s="8"/>
    </row>
    <row r="171" spans="2:2">
      <c r="B171" s="8"/>
    </row>
    <row r="172" spans="2:2">
      <c r="B172" s="8"/>
    </row>
    <row r="173" spans="2:2">
      <c r="B173" s="8"/>
    </row>
    <row r="174" spans="2:2">
      <c r="B174" s="8"/>
    </row>
    <row r="175" spans="2:2">
      <c r="B175" s="8"/>
    </row>
    <row r="176" spans="2:2">
      <c r="B176" s="8"/>
    </row>
    <row r="177" spans="2:2">
      <c r="B177" s="8"/>
    </row>
    <row r="178" spans="2:2">
      <c r="B178" s="8"/>
    </row>
    <row r="179" spans="2:2">
      <c r="B179" s="8"/>
    </row>
    <row r="180" spans="2:2">
      <c r="B180" s="8"/>
    </row>
    <row r="181" spans="2:2">
      <c r="B181" s="8"/>
    </row>
    <row r="182" spans="2:2">
      <c r="B182" s="8"/>
    </row>
    <row r="183" spans="2:2">
      <c r="B183" s="8"/>
    </row>
    <row r="184" spans="2:2">
      <c r="B184" s="8"/>
    </row>
    <row r="185" spans="2:2">
      <c r="B185" s="8"/>
    </row>
    <row r="186" spans="2:2">
      <c r="B186" s="8"/>
    </row>
    <row r="187" spans="2:2">
      <c r="B187" s="8"/>
    </row>
    <row r="188" spans="2:2">
      <c r="B188" s="8"/>
    </row>
    <row r="189" spans="2:2">
      <c r="B189" s="8"/>
    </row>
    <row r="190" spans="2:2">
      <c r="B190" s="8"/>
    </row>
    <row r="191" spans="2:2">
      <c r="B191" s="8"/>
    </row>
    <row r="192" spans="2:2">
      <c r="B192" s="8"/>
    </row>
    <row r="193" spans="2:2">
      <c r="B193" s="8"/>
    </row>
    <row r="194" spans="2:2">
      <c r="B194" s="8"/>
    </row>
    <row r="195" spans="2:2">
      <c r="B195" s="8"/>
    </row>
    <row r="196" spans="2:2">
      <c r="B196" s="8"/>
    </row>
    <row r="197" spans="2:2">
      <c r="B197" s="8"/>
    </row>
    <row r="198" spans="2:2">
      <c r="B198" s="8"/>
    </row>
    <row r="199" spans="2:2">
      <c r="B199" s="8"/>
    </row>
    <row r="200" spans="2:2">
      <c r="B200" s="8"/>
    </row>
    <row r="201" spans="2:2">
      <c r="B201" s="8"/>
    </row>
    <row r="202" spans="2:2">
      <c r="B202" s="8"/>
    </row>
    <row r="203" spans="2:2">
      <c r="B203" s="8"/>
    </row>
    <row r="204" spans="2:2">
      <c r="B204" s="8"/>
    </row>
    <row r="205" spans="2:2">
      <c r="B205" s="8"/>
    </row>
    <row r="206" spans="2:2">
      <c r="B206" s="8"/>
    </row>
    <row r="207" spans="2:2">
      <c r="B207" s="8"/>
    </row>
    <row r="208" spans="2:2">
      <c r="B208" s="8"/>
    </row>
    <row r="209" spans="2:2">
      <c r="B209" s="8"/>
    </row>
    <row r="210" spans="2:2">
      <c r="B210" s="8"/>
    </row>
    <row r="211" spans="2:2">
      <c r="B211" s="8"/>
    </row>
    <row r="212" spans="2:2">
      <c r="B212" s="8"/>
    </row>
    <row r="213" spans="2:2">
      <c r="B213" s="8"/>
    </row>
    <row r="214" spans="2:2">
      <c r="B214" s="8"/>
    </row>
    <row r="215" spans="2:2">
      <c r="B215" s="8"/>
    </row>
    <row r="216" spans="2:2">
      <c r="B216" s="8"/>
    </row>
    <row r="217" spans="2:2">
      <c r="B217" s="8"/>
    </row>
    <row r="218" spans="2:2">
      <c r="B218" s="8"/>
    </row>
    <row r="219" spans="2:2">
      <c r="B219" s="8"/>
    </row>
    <row r="220" spans="2:2">
      <c r="B220" s="8"/>
    </row>
    <row r="221" spans="2:2">
      <c r="B221" s="8"/>
    </row>
    <row r="222" spans="2:2">
      <c r="B222" s="8"/>
    </row>
    <row r="223" spans="2:2">
      <c r="B223" s="8"/>
    </row>
    <row r="224" spans="2:2">
      <c r="B224" s="8"/>
    </row>
    <row r="225" spans="2:2">
      <c r="B225" s="8"/>
    </row>
    <row r="226" spans="2:2">
      <c r="B226" s="8"/>
    </row>
    <row r="227" spans="2:2">
      <c r="B227" s="8"/>
    </row>
    <row r="228" spans="2:2">
      <c r="B228" s="8"/>
    </row>
    <row r="229" spans="2:2">
      <c r="B229" s="8"/>
    </row>
    <row r="230" spans="2:2">
      <c r="B230" s="8"/>
    </row>
    <row r="231" spans="2:2">
      <c r="B231" s="8"/>
    </row>
    <row r="232" spans="2:2">
      <c r="B232" s="8"/>
    </row>
    <row r="233" spans="2:2">
      <c r="B233" s="8"/>
    </row>
    <row r="234" spans="2:2">
      <c r="B234" s="8"/>
    </row>
    <row r="235" spans="2:2">
      <c r="B235" s="8"/>
    </row>
    <row r="236" spans="2:2">
      <c r="B236" s="8"/>
    </row>
    <row r="237" spans="2:2">
      <c r="B237" s="8"/>
    </row>
    <row r="238" spans="2:2">
      <c r="B238" s="8"/>
    </row>
    <row r="239" spans="2:2">
      <c r="B239" s="8"/>
    </row>
    <row r="240" spans="2:2">
      <c r="B240" s="8"/>
    </row>
    <row r="241" spans="2:2">
      <c r="B241" s="8"/>
    </row>
    <row r="242" spans="2:2">
      <c r="B242" s="8"/>
    </row>
    <row r="243" spans="2:2">
      <c r="B243" s="8"/>
    </row>
    <row r="244" spans="2:2">
      <c r="B244" s="8"/>
    </row>
    <row r="245" spans="2:2">
      <c r="B245" s="8"/>
    </row>
    <row r="246" spans="2:2">
      <c r="B246" s="8"/>
    </row>
    <row r="247" spans="2:2">
      <c r="B247" s="8"/>
    </row>
    <row r="248" spans="2:2">
      <c r="B248" s="8"/>
    </row>
    <row r="249" spans="2:2">
      <c r="B249" s="8"/>
    </row>
    <row r="250" spans="2:2">
      <c r="B250" s="8"/>
    </row>
    <row r="251" spans="2:2">
      <c r="B251" s="8"/>
    </row>
    <row r="252" spans="2:2">
      <c r="B252" s="8"/>
    </row>
    <row r="253" spans="2:2">
      <c r="B253" s="8"/>
    </row>
    <row r="254" spans="2:2">
      <c r="B254" s="8"/>
    </row>
    <row r="255" spans="2:2">
      <c r="B255" s="8"/>
    </row>
    <row r="256" spans="2:2">
      <c r="B256" s="8"/>
    </row>
    <row r="257" spans="2:2">
      <c r="B257" s="8"/>
    </row>
    <row r="258" spans="2:2">
      <c r="B258" s="8"/>
    </row>
    <row r="259" spans="2:2">
      <c r="B259" s="8"/>
    </row>
    <row r="260" spans="2:2">
      <c r="B260" s="8"/>
    </row>
    <row r="261" spans="2:2">
      <c r="B261" s="8"/>
    </row>
    <row r="262" spans="2:2">
      <c r="B262" s="8"/>
    </row>
    <row r="263" spans="2:2">
      <c r="B263" s="8"/>
    </row>
    <row r="264" spans="2:2">
      <c r="B264" s="8"/>
    </row>
    <row r="265" spans="2:2">
      <c r="B265" s="8"/>
    </row>
    <row r="266" spans="2:2">
      <c r="B266" s="8"/>
    </row>
    <row r="267" spans="2:2">
      <c r="B267" s="8"/>
    </row>
    <row r="268" spans="2:2">
      <c r="B268" s="8"/>
    </row>
    <row r="269" spans="2:2">
      <c r="B269" s="8"/>
    </row>
    <row r="270" spans="2:2">
      <c r="B270" s="8"/>
    </row>
    <row r="271" spans="2:2">
      <c r="B271" s="8"/>
    </row>
    <row r="272" spans="2:2">
      <c r="B272" s="8"/>
    </row>
    <row r="273" spans="2:2">
      <c r="B273" s="8"/>
    </row>
    <row r="274" spans="2:2">
      <c r="B274" s="8"/>
    </row>
    <row r="275" spans="2:2">
      <c r="B275" s="8"/>
    </row>
    <row r="276" spans="2:2">
      <c r="B276" s="8"/>
    </row>
    <row r="277" spans="2:2">
      <c r="B277" s="8"/>
    </row>
    <row r="278" spans="2:2">
      <c r="B278" s="8"/>
    </row>
    <row r="279" spans="2:2">
      <c r="B279" s="8"/>
    </row>
    <row r="280" spans="2:2">
      <c r="B280" s="8"/>
    </row>
    <row r="281" spans="2:2">
      <c r="B281" s="8"/>
    </row>
    <row r="282" spans="2:2">
      <c r="B282" s="8"/>
    </row>
    <row r="283" spans="2:2">
      <c r="B283" s="8"/>
    </row>
    <row r="284" spans="2:2">
      <c r="B284" s="8"/>
    </row>
    <row r="285" spans="2:2">
      <c r="B285" s="8"/>
    </row>
    <row r="286" spans="2:2">
      <c r="B286" s="8"/>
    </row>
    <row r="287" spans="2:2">
      <c r="B287" s="8"/>
    </row>
    <row r="288" spans="2:2">
      <c r="B288" s="8"/>
    </row>
    <row r="289" spans="2:2">
      <c r="B289" s="8"/>
    </row>
    <row r="290" spans="2:2">
      <c r="B290" s="8"/>
    </row>
    <row r="291" spans="2:2">
      <c r="B291" s="8"/>
    </row>
    <row r="292" spans="2:2">
      <c r="B292" s="8"/>
    </row>
    <row r="293" spans="2:2">
      <c r="B293" s="8"/>
    </row>
    <row r="294" spans="2:2">
      <c r="B294" s="8"/>
    </row>
    <row r="295" spans="2:2">
      <c r="B295" s="8"/>
    </row>
    <row r="296" spans="2:2">
      <c r="B296" s="8"/>
    </row>
    <row r="297" spans="2:2">
      <c r="B297" s="8"/>
    </row>
    <row r="298" spans="2:2">
      <c r="B298" s="8"/>
    </row>
    <row r="299" spans="2:2">
      <c r="B299" s="8"/>
    </row>
    <row r="300" spans="2:2">
      <c r="B300" s="8"/>
    </row>
    <row r="301" spans="2:2">
      <c r="B301" s="8"/>
    </row>
    <row r="302" spans="2:2">
      <c r="B302" s="8"/>
    </row>
    <row r="303" spans="2:2">
      <c r="B303" s="8"/>
    </row>
    <row r="304" spans="2:2">
      <c r="B304" s="8"/>
    </row>
    <row r="305" spans="2:2">
      <c r="B305" s="8"/>
    </row>
    <row r="306" spans="2:2">
      <c r="B306" s="8"/>
    </row>
    <row r="307" spans="2:2">
      <c r="B307" s="8"/>
    </row>
    <row r="308" spans="2:2">
      <c r="B308" s="8"/>
    </row>
    <row r="309" spans="2:2">
      <c r="B309" s="8"/>
    </row>
    <row r="310" spans="2:2">
      <c r="B310" s="8"/>
    </row>
    <row r="311" spans="2:2">
      <c r="B311" s="8"/>
    </row>
    <row r="312" spans="2:2">
      <c r="B312" s="8"/>
    </row>
    <row r="313" spans="2:2">
      <c r="B313" s="8"/>
    </row>
    <row r="314" spans="2:2">
      <c r="B314" s="8"/>
    </row>
    <row r="315" spans="2:2">
      <c r="B315" s="8"/>
    </row>
    <row r="316" spans="2:2">
      <c r="B316" s="8"/>
    </row>
    <row r="317" spans="2:2">
      <c r="B317" s="8"/>
    </row>
    <row r="318" spans="2:2">
      <c r="B318" s="8"/>
    </row>
    <row r="319" spans="2:2">
      <c r="B319" s="8"/>
    </row>
    <row r="320" spans="2:2">
      <c r="B320" s="8"/>
    </row>
    <row r="321" spans="2:2">
      <c r="B321" s="8"/>
    </row>
    <row r="322" spans="2:2">
      <c r="B322" s="8"/>
    </row>
    <row r="323" spans="2:2">
      <c r="B323" s="8"/>
    </row>
    <row r="324" spans="2:2">
      <c r="B324" s="8"/>
    </row>
  </sheetData>
  <mergeCells count="19">
    <mergeCell ref="B2:F2"/>
    <mergeCell ref="D101:E101"/>
    <mergeCell ref="D102:E102"/>
    <mergeCell ref="A21:B21"/>
    <mergeCell ref="A22:B22"/>
    <mergeCell ref="A23:B23"/>
    <mergeCell ref="A33:B33"/>
    <mergeCell ref="A65:B65"/>
    <mergeCell ref="A66:B66"/>
    <mergeCell ref="A70:B70"/>
    <mergeCell ref="A6:B6"/>
    <mergeCell ref="A7:B7"/>
    <mergeCell ref="A10:B10"/>
    <mergeCell ref="A19:B19"/>
    <mergeCell ref="A17:B17"/>
    <mergeCell ref="A91:B91"/>
    <mergeCell ref="A90:B90"/>
    <mergeCell ref="F101:H101"/>
    <mergeCell ref="F102:H102"/>
  </mergeCells>
  <pageMargins left="0.39370078740157483" right="0.39370078740157483" top="0.78740157480314965" bottom="0.39370078740157483" header="0.31496062992125984" footer="0.31496062992125984"/>
  <pageSetup paperSize="9" scale="82" fitToHeight="8" orientation="landscape" r:id="rId1"/>
  <rowBreaks count="1" manualBreakCount="1">
    <brk id="20" max="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</sheetPr>
  <dimension ref="A2:R452"/>
  <sheetViews>
    <sheetView view="pageBreakPreview" topLeftCell="A28" zoomScale="60" zoomScaleNormal="70" workbookViewId="0">
      <selection activeCell="M45" sqref="M45"/>
    </sheetView>
  </sheetViews>
  <sheetFormatPr defaultRowHeight="18.75"/>
  <cols>
    <col min="1" max="1" width="10" style="2" customWidth="1"/>
    <col min="2" max="2" width="106.140625" style="2" customWidth="1"/>
    <col min="3" max="3" width="14.140625" style="220" customWidth="1"/>
    <col min="4" max="4" width="16.5703125" style="220" customWidth="1"/>
    <col min="5" max="5" width="17.42578125" style="220" customWidth="1"/>
    <col min="6" max="6" width="18.140625" style="220" customWidth="1"/>
    <col min="7" max="7" width="18.28515625" style="2" customWidth="1"/>
    <col min="8" max="8" width="17.7109375" style="2" customWidth="1"/>
    <col min="9" max="9" width="17.42578125" style="2" customWidth="1"/>
    <col min="10" max="10" width="19" style="90" customWidth="1"/>
    <col min="11" max="11" width="21.85546875" style="5" customWidth="1"/>
    <col min="12" max="12" width="22.7109375" style="2" customWidth="1"/>
    <col min="13" max="13" width="21.85546875" style="2" customWidth="1"/>
    <col min="14" max="14" width="15.85546875" style="220" bestFit="1" customWidth="1"/>
    <col min="15" max="15" width="19.140625" style="220" customWidth="1"/>
    <col min="16" max="16" width="15.28515625" style="2" bestFit="1" customWidth="1"/>
    <col min="17" max="17" width="13.85546875" style="2" bestFit="1" customWidth="1"/>
    <col min="18" max="18" width="14.7109375" style="2" bestFit="1" customWidth="1"/>
    <col min="19" max="19" width="13.42578125" style="2" bestFit="1" customWidth="1"/>
    <col min="20" max="22" width="9.140625" style="2"/>
    <col min="23" max="23" width="10.28515625" style="2" customWidth="1"/>
    <col min="24" max="16384" width="9.140625" style="2"/>
  </cols>
  <sheetData>
    <row r="2" spans="1:17" ht="22.5" customHeight="1">
      <c r="B2" s="255" t="s">
        <v>117</v>
      </c>
      <c r="C2" s="255"/>
      <c r="D2" s="255"/>
      <c r="E2" s="255"/>
      <c r="F2" s="255"/>
      <c r="G2" s="255"/>
      <c r="H2" s="255"/>
    </row>
    <row r="3" spans="1:17">
      <c r="B3" s="226"/>
      <c r="C3" s="3"/>
      <c r="D3" s="226"/>
      <c r="E3" s="226"/>
      <c r="F3" s="226"/>
      <c r="H3" s="2" t="s">
        <v>65</v>
      </c>
    </row>
    <row r="4" spans="1:17" ht="98.25" customHeight="1">
      <c r="A4" s="4" t="s">
        <v>76</v>
      </c>
      <c r="B4" s="4" t="s">
        <v>23</v>
      </c>
      <c r="C4" s="11" t="s">
        <v>5</v>
      </c>
      <c r="D4" s="11" t="s">
        <v>310</v>
      </c>
      <c r="E4" s="11" t="s">
        <v>308</v>
      </c>
      <c r="F4" s="11" t="s">
        <v>309</v>
      </c>
      <c r="G4" s="11" t="s">
        <v>108</v>
      </c>
      <c r="H4" s="11" t="s">
        <v>111</v>
      </c>
      <c r="N4" s="31"/>
      <c r="O4" s="31"/>
    </row>
    <row r="5" spans="1:17" ht="30.75" customHeight="1">
      <c r="A5" s="24"/>
      <c r="B5" s="4">
        <v>2</v>
      </c>
      <c r="C5" s="11">
        <v>3</v>
      </c>
      <c r="D5" s="11">
        <v>4</v>
      </c>
      <c r="E5" s="11">
        <v>5</v>
      </c>
      <c r="F5" s="11">
        <v>6</v>
      </c>
      <c r="G5" s="4">
        <v>7</v>
      </c>
      <c r="H5" s="4">
        <v>8</v>
      </c>
      <c r="I5" s="20"/>
      <c r="J5" s="28"/>
      <c r="K5" s="32"/>
      <c r="M5" s="20"/>
      <c r="N5" s="33"/>
      <c r="O5" s="33"/>
    </row>
    <row r="6" spans="1:17" ht="36" customHeight="1">
      <c r="A6" s="252" t="s">
        <v>84</v>
      </c>
      <c r="B6" s="252"/>
      <c r="C6" s="224"/>
      <c r="D6" s="12">
        <f>SUM(D7,D53,D110,D132,D142,D149,D161,D166,D183,D221,)</f>
        <v>62452.799999999988</v>
      </c>
      <c r="E6" s="12">
        <f>SUM(E7,E53,E110,E132,E142,E149,E161,E166,E183,E221,)</f>
        <v>79940.899999999994</v>
      </c>
      <c r="F6" s="12">
        <f>SUM(F7,F53,F110,F132,F142,F149,F161,F166,F183,F221,F105,)</f>
        <v>85704.9</v>
      </c>
      <c r="G6" s="19">
        <f>F6-E6</f>
        <v>5764</v>
      </c>
      <c r="H6" s="19">
        <f>(F6/E6)*100</f>
        <v>107.21032662879702</v>
      </c>
      <c r="I6" s="20"/>
      <c r="J6" s="28"/>
      <c r="N6" s="34"/>
      <c r="O6" s="34"/>
      <c r="P6" s="20"/>
    </row>
    <row r="7" spans="1:17" ht="39.75" customHeight="1">
      <c r="A7" s="224" t="s">
        <v>85</v>
      </c>
      <c r="B7" s="22" t="s">
        <v>118</v>
      </c>
      <c r="C7" s="224"/>
      <c r="D7" s="14">
        <f>D9+D37+D48</f>
        <v>46017.099999999991</v>
      </c>
      <c r="E7" s="14">
        <f>E9+E37+E48</f>
        <v>67836.2</v>
      </c>
      <c r="F7" s="14">
        <f>F9+F37+F48</f>
        <v>67833.5</v>
      </c>
      <c r="G7" s="19">
        <f>F7-E7</f>
        <v>-2.6999999999970896</v>
      </c>
      <c r="H7" s="19">
        <f>(F7/E7)*100</f>
        <v>99.996019824223652</v>
      </c>
      <c r="I7" s="20"/>
      <c r="J7" s="28"/>
      <c r="K7" s="28"/>
      <c r="L7" s="28"/>
      <c r="M7" s="28"/>
      <c r="N7" s="35"/>
      <c r="O7" s="35"/>
      <c r="P7" s="36"/>
    </row>
    <row r="8" spans="1:17" ht="24" customHeight="1">
      <c r="A8" s="4"/>
      <c r="B8" s="37" t="s">
        <v>86</v>
      </c>
      <c r="C8" s="11"/>
      <c r="D8" s="18"/>
      <c r="E8" s="18"/>
      <c r="F8" s="18"/>
      <c r="G8" s="19"/>
      <c r="H8" s="19"/>
      <c r="I8" s="20"/>
      <c r="K8" s="28"/>
      <c r="L8" s="28"/>
      <c r="M8" s="28"/>
      <c r="N8" s="35"/>
      <c r="O8" s="35"/>
    </row>
    <row r="9" spans="1:17" ht="30" customHeight="1">
      <c r="A9" s="38" t="s">
        <v>87</v>
      </c>
      <c r="B9" s="223" t="s">
        <v>90</v>
      </c>
      <c r="C9" s="224">
        <v>1010</v>
      </c>
      <c r="D9" s="14">
        <f>D10+D16+D17+D19+D18</f>
        <v>42196.399999999994</v>
      </c>
      <c r="E9" s="14">
        <f>E10+E16+E17+E19</f>
        <v>62252.2</v>
      </c>
      <c r="F9" s="14">
        <f>F10+F16+F17+F19+F18</f>
        <v>63368.3</v>
      </c>
      <c r="G9" s="19">
        <f>F9-E9</f>
        <v>1116.1000000000058</v>
      </c>
      <c r="H9" s="19">
        <f>(F9/E9)*100</f>
        <v>101.79286836449155</v>
      </c>
      <c r="I9" s="20"/>
      <c r="K9" s="92"/>
      <c r="L9" s="92"/>
      <c r="M9" s="92"/>
      <c r="N9" s="35"/>
      <c r="O9" s="35"/>
      <c r="P9" s="5"/>
    </row>
    <row r="10" spans="1:17" ht="28.5" customHeight="1">
      <c r="A10" s="39" t="s">
        <v>135</v>
      </c>
      <c r="B10" s="40" t="s">
        <v>105</v>
      </c>
      <c r="C10" s="41">
        <v>1011</v>
      </c>
      <c r="D10" s="42">
        <f>SUM(D11:D15)</f>
        <v>4677.2</v>
      </c>
      <c r="E10" s="42">
        <f>SUM(E11:E15)</f>
        <v>9384</v>
      </c>
      <c r="F10" s="42">
        <f>SUM(F11:F15)</f>
        <v>9416.5000000000018</v>
      </c>
      <c r="G10" s="43">
        <f>F10-E10</f>
        <v>32.500000000001819</v>
      </c>
      <c r="H10" s="43">
        <f>(F10/E10)*100</f>
        <v>100.34633418584826</v>
      </c>
      <c r="I10" s="20"/>
      <c r="K10" s="92"/>
      <c r="L10" s="92"/>
      <c r="M10" s="92"/>
      <c r="N10" s="35"/>
      <c r="O10" s="35"/>
      <c r="P10" s="28"/>
      <c r="Q10" s="20"/>
    </row>
    <row r="11" spans="1:17" ht="25.5" customHeight="1">
      <c r="A11" s="44"/>
      <c r="B11" s="17" t="s">
        <v>136</v>
      </c>
      <c r="C11" s="45"/>
      <c r="D11" s="18">
        <v>4190</v>
      </c>
      <c r="E11" s="18">
        <v>8100</v>
      </c>
      <c r="F11" s="18">
        <v>8648.1</v>
      </c>
      <c r="G11" s="15">
        <f t="shared" ref="G11:G55" si="0">F11-E11</f>
        <v>548.10000000000036</v>
      </c>
      <c r="H11" s="15">
        <f t="shared" ref="H11:H55" si="1">(F11/E11)*100</f>
        <v>106.76666666666668</v>
      </c>
      <c r="K11" s="36"/>
      <c r="L11" s="36"/>
      <c r="M11" s="36"/>
      <c r="N11" s="35"/>
      <c r="O11" s="35"/>
      <c r="P11" s="36"/>
    </row>
    <row r="12" spans="1:17" ht="27" customHeight="1">
      <c r="A12" s="44"/>
      <c r="B12" s="17" t="s">
        <v>137</v>
      </c>
      <c r="C12" s="45"/>
      <c r="D12" s="18">
        <v>329.5</v>
      </c>
      <c r="E12" s="18">
        <v>600</v>
      </c>
      <c r="F12" s="18">
        <v>399</v>
      </c>
      <c r="G12" s="15">
        <f t="shared" si="0"/>
        <v>-201</v>
      </c>
      <c r="H12" s="15">
        <f t="shared" si="1"/>
        <v>66.5</v>
      </c>
      <c r="J12" s="188"/>
      <c r="K12" s="189">
        <f>K14+K21+K28</f>
        <v>62452.799999999996</v>
      </c>
      <c r="L12" s="189">
        <f>L14+L21+L28</f>
        <v>79940.900000000009</v>
      </c>
      <c r="M12" s="189">
        <f>M14+M21+M28</f>
        <v>85704.89999999998</v>
      </c>
      <c r="N12" s="35"/>
      <c r="P12" s="5"/>
    </row>
    <row r="13" spans="1:17" ht="49.5" customHeight="1">
      <c r="A13" s="44"/>
      <c r="B13" s="17" t="s">
        <v>158</v>
      </c>
      <c r="C13" s="45"/>
      <c r="D13" s="18">
        <v>92.8</v>
      </c>
      <c r="E13" s="18">
        <v>330</v>
      </c>
      <c r="F13" s="18">
        <v>229.2</v>
      </c>
      <c r="G13" s="15">
        <f t="shared" si="0"/>
        <v>-100.80000000000001</v>
      </c>
      <c r="H13" s="15">
        <f t="shared" si="1"/>
        <v>69.454545454545453</v>
      </c>
      <c r="K13" s="20"/>
      <c r="L13" s="20"/>
      <c r="M13" s="20"/>
      <c r="N13" s="35"/>
      <c r="O13" s="35"/>
    </row>
    <row r="14" spans="1:17" ht="27.75" customHeight="1">
      <c r="A14" s="44"/>
      <c r="B14" s="116" t="s">
        <v>159</v>
      </c>
      <c r="C14" s="45"/>
      <c r="D14" s="18"/>
      <c r="E14" s="18">
        <v>126</v>
      </c>
      <c r="F14" s="18">
        <v>0.2</v>
      </c>
      <c r="G14" s="15">
        <f t="shared" si="0"/>
        <v>-125.8</v>
      </c>
      <c r="H14" s="15">
        <f t="shared" si="1"/>
        <v>0.15873015873015872</v>
      </c>
      <c r="J14" s="90">
        <v>1010</v>
      </c>
      <c r="K14" s="92">
        <f>SUM(D9,D55,D107,D112,D134,D151,D168,D185,D223,)</f>
        <v>58038.999999999993</v>
      </c>
      <c r="L14" s="92">
        <f t="shared" ref="L14:M14" si="2">SUM(E9,E55,E107,E112,E134,E151,E168,E185,E223,)</f>
        <v>73858.600000000006</v>
      </c>
      <c r="M14" s="92">
        <f t="shared" si="2"/>
        <v>79847.299999999988</v>
      </c>
      <c r="N14" s="35"/>
      <c r="O14" s="35"/>
    </row>
    <row r="15" spans="1:17" ht="27" customHeight="1">
      <c r="A15" s="44"/>
      <c r="B15" s="17" t="s">
        <v>172</v>
      </c>
      <c r="C15" s="45"/>
      <c r="D15" s="18">
        <v>64.900000000000006</v>
      </c>
      <c r="E15" s="18">
        <v>228</v>
      </c>
      <c r="F15" s="18">
        <v>140</v>
      </c>
      <c r="G15" s="15">
        <f t="shared" si="0"/>
        <v>-88</v>
      </c>
      <c r="H15" s="15">
        <f t="shared" si="1"/>
        <v>61.403508771929829</v>
      </c>
      <c r="J15" s="90">
        <v>1011</v>
      </c>
      <c r="K15" s="36">
        <f>SUM(D10,D56,D108,D113,D135,D169,D186,)</f>
        <v>13154.499999999998</v>
      </c>
      <c r="L15" s="36">
        <f t="shared" ref="L15:M15" si="3">SUM(E10,E56,E108,E113,E135,E169,E186,)</f>
        <v>12540</v>
      </c>
      <c r="M15" s="36">
        <f t="shared" si="3"/>
        <v>15595.9</v>
      </c>
      <c r="N15" s="92"/>
      <c r="O15" s="92"/>
    </row>
    <row r="16" spans="1:17" ht="26.25" customHeight="1">
      <c r="A16" s="39" t="s">
        <v>138</v>
      </c>
      <c r="B16" s="40" t="s">
        <v>2</v>
      </c>
      <c r="C16" s="47">
        <v>1012</v>
      </c>
      <c r="D16" s="42">
        <v>30445.5</v>
      </c>
      <c r="E16" s="42">
        <v>41342</v>
      </c>
      <c r="F16" s="42">
        <f>43551.8+547.6</f>
        <v>44099.4</v>
      </c>
      <c r="G16" s="43">
        <f t="shared" si="0"/>
        <v>2757.4000000000015</v>
      </c>
      <c r="H16" s="43">
        <f t="shared" si="1"/>
        <v>106.66973054037057</v>
      </c>
      <c r="J16" s="90">
        <v>1012</v>
      </c>
      <c r="K16" s="36">
        <f>SUM(D16,D62,)</f>
        <v>30616.3</v>
      </c>
      <c r="L16" s="36">
        <f t="shared" ref="L16:M16" si="4">SUM(E16,E62,)</f>
        <v>41482</v>
      </c>
      <c r="M16" s="36">
        <f t="shared" si="4"/>
        <v>44258.6</v>
      </c>
      <c r="N16" s="36"/>
      <c r="O16" s="36"/>
    </row>
    <row r="17" spans="1:18" ht="27" customHeight="1">
      <c r="A17" s="39" t="s">
        <v>139</v>
      </c>
      <c r="B17" s="40" t="s">
        <v>3</v>
      </c>
      <c r="C17" s="47">
        <v>1013</v>
      </c>
      <c r="D17" s="42">
        <v>6539.6</v>
      </c>
      <c r="E17" s="42">
        <v>9012.6</v>
      </c>
      <c r="F17" s="42">
        <f>9111.4+154.4</f>
        <v>9265.7999999999993</v>
      </c>
      <c r="G17" s="43">
        <f t="shared" si="0"/>
        <v>253.19999999999891</v>
      </c>
      <c r="H17" s="43">
        <f t="shared" si="1"/>
        <v>102.80940017309099</v>
      </c>
      <c r="J17" s="90">
        <v>1013</v>
      </c>
      <c r="K17" s="36">
        <f>SUM(D17,D63,)</f>
        <v>6577.2000000000007</v>
      </c>
      <c r="L17" s="36">
        <f t="shared" ref="L17:M17" si="5">SUM(E17,E63,)</f>
        <v>9043.4</v>
      </c>
      <c r="M17" s="36">
        <f t="shared" si="5"/>
        <v>9299</v>
      </c>
      <c r="N17" s="36"/>
      <c r="O17" s="36"/>
      <c r="P17" s="20"/>
      <c r="Q17" s="20"/>
      <c r="R17" s="20"/>
    </row>
    <row r="18" spans="1:18" ht="26.25" customHeight="1">
      <c r="A18" s="39" t="s">
        <v>140</v>
      </c>
      <c r="B18" s="40" t="s">
        <v>4</v>
      </c>
      <c r="C18" s="47">
        <v>1014</v>
      </c>
      <c r="D18" s="42">
        <v>9.1999999999999993</v>
      </c>
      <c r="E18" s="42"/>
      <c r="F18" s="42">
        <v>174.8</v>
      </c>
      <c r="G18" s="43">
        <f t="shared" si="0"/>
        <v>174.8</v>
      </c>
      <c r="H18" s="184" t="e">
        <f t="shared" si="1"/>
        <v>#DIV/0!</v>
      </c>
      <c r="I18" s="48"/>
      <c r="J18" s="90">
        <v>1014</v>
      </c>
      <c r="K18" s="36">
        <f>SUM(D18,D64,D191,D224)</f>
        <v>2759.7000000000003</v>
      </c>
      <c r="L18" s="36">
        <f t="shared" ref="L18:M18" si="6">SUM(E18,E64,E191,E224)</f>
        <v>2140</v>
      </c>
      <c r="M18" s="36">
        <f t="shared" si="6"/>
        <v>3416.5</v>
      </c>
      <c r="N18" s="36"/>
      <c r="O18" s="36"/>
    </row>
    <row r="19" spans="1:18" ht="26.25" customHeight="1">
      <c r="A19" s="39" t="s">
        <v>141</v>
      </c>
      <c r="B19" s="40" t="s">
        <v>142</v>
      </c>
      <c r="C19" s="47">
        <v>1015</v>
      </c>
      <c r="D19" s="42">
        <f>SUM(D20:D36)</f>
        <v>524.90000000000009</v>
      </c>
      <c r="E19" s="42">
        <f>SUM(E20:E36)</f>
        <v>2513.6</v>
      </c>
      <c r="F19" s="42">
        <f>SUM(F20:F36)</f>
        <v>411.80000000000007</v>
      </c>
      <c r="G19" s="43">
        <f t="shared" si="0"/>
        <v>-2101.7999999999997</v>
      </c>
      <c r="H19" s="43">
        <f t="shared" si="1"/>
        <v>16.382877148313181</v>
      </c>
      <c r="I19" s="85"/>
      <c r="J19" s="90">
        <v>1015</v>
      </c>
      <c r="K19" s="36">
        <f>SUM(D19,D65,D117,D152,D175,D192,)</f>
        <v>4931.3000000000011</v>
      </c>
      <c r="L19" s="36">
        <f t="shared" ref="L19:M19" si="7">SUM(E19,E65,E117,E152,E175,E192,)</f>
        <v>8653.1999999999989</v>
      </c>
      <c r="M19" s="36">
        <f t="shared" si="7"/>
        <v>7277.3</v>
      </c>
      <c r="N19" s="36"/>
      <c r="O19" s="36"/>
      <c r="P19" s="36"/>
    </row>
    <row r="20" spans="1:18" ht="27" customHeight="1">
      <c r="A20" s="49"/>
      <c r="B20" s="23" t="s">
        <v>143</v>
      </c>
      <c r="C20" s="16"/>
      <c r="D20" s="50">
        <v>27.5</v>
      </c>
      <c r="E20" s="50">
        <v>30</v>
      </c>
      <c r="F20" s="50"/>
      <c r="G20" s="15">
        <f t="shared" si="0"/>
        <v>-30</v>
      </c>
      <c r="H20" s="15">
        <f t="shared" si="1"/>
        <v>0</v>
      </c>
      <c r="K20" s="36"/>
      <c r="L20" s="36"/>
      <c r="M20" s="36"/>
      <c r="N20" s="36"/>
      <c r="O20" s="36"/>
      <c r="P20" s="5"/>
    </row>
    <row r="21" spans="1:18" ht="26.25" customHeight="1">
      <c r="A21" s="49"/>
      <c r="B21" s="17" t="s">
        <v>144</v>
      </c>
      <c r="C21" s="16"/>
      <c r="D21" s="50">
        <v>177.5</v>
      </c>
      <c r="E21" s="50">
        <v>341</v>
      </c>
      <c r="F21" s="50">
        <f>17+229.4-220</f>
        <v>26.400000000000006</v>
      </c>
      <c r="G21" s="15">
        <f t="shared" si="0"/>
        <v>-314.60000000000002</v>
      </c>
      <c r="H21" s="15">
        <f t="shared" si="1"/>
        <v>7.7419354838709697</v>
      </c>
      <c r="J21" s="90">
        <v>1020</v>
      </c>
      <c r="K21" s="92">
        <f>SUM(D37,D86,D124,D157,D203,D226)</f>
        <v>3445.5</v>
      </c>
      <c r="L21" s="92">
        <f t="shared" ref="L21:M21" si="8">SUM(E37,E86,E124,E157,E203,E226)</f>
        <v>5942.0999999999995</v>
      </c>
      <c r="M21" s="92">
        <f t="shared" si="8"/>
        <v>4925.8999999999996</v>
      </c>
      <c r="N21" s="35"/>
      <c r="O21" s="35"/>
    </row>
    <row r="22" spans="1:18" ht="26.25" customHeight="1">
      <c r="A22" s="49"/>
      <c r="B22" s="17" t="s">
        <v>145</v>
      </c>
      <c r="C22" s="16"/>
      <c r="D22" s="50">
        <v>49</v>
      </c>
      <c r="E22" s="50">
        <v>45</v>
      </c>
      <c r="F22" s="50">
        <f>16.9+24.3</f>
        <v>41.2</v>
      </c>
      <c r="G22" s="15">
        <f t="shared" si="0"/>
        <v>-3.7999999999999972</v>
      </c>
      <c r="H22" s="15">
        <f t="shared" si="1"/>
        <v>91.555555555555557</v>
      </c>
      <c r="J22" s="90">
        <v>1021</v>
      </c>
      <c r="K22" s="46">
        <f>SUM(D38,D87,D125,D204,)</f>
        <v>33.9</v>
      </c>
      <c r="L22" s="46">
        <f t="shared" ref="L22:M22" si="9">SUM(E38,E87,E125,E204,)</f>
        <v>7.6</v>
      </c>
      <c r="M22" s="46">
        <f t="shared" si="9"/>
        <v>27.6</v>
      </c>
      <c r="N22" s="35"/>
      <c r="O22" s="35"/>
      <c r="P22" s="20"/>
    </row>
    <row r="23" spans="1:18" ht="26.25" customHeight="1">
      <c r="A23" s="49"/>
      <c r="B23" s="17" t="s">
        <v>146</v>
      </c>
      <c r="C23" s="16"/>
      <c r="D23" s="50">
        <v>69.5</v>
      </c>
      <c r="E23" s="50">
        <v>1165</v>
      </c>
      <c r="F23" s="50">
        <f>14.1+68.3-50</f>
        <v>32.399999999999991</v>
      </c>
      <c r="G23" s="15">
        <f t="shared" si="0"/>
        <v>-1132.5999999999999</v>
      </c>
      <c r="H23" s="15">
        <f t="shared" si="1"/>
        <v>2.7811158798283255</v>
      </c>
      <c r="J23" s="90">
        <v>1022</v>
      </c>
      <c r="K23" s="36">
        <f>SUM(D41,)</f>
        <v>2308.4</v>
      </c>
      <c r="L23" s="36">
        <f t="shared" ref="L23:M23" si="10">SUM(E41,)</f>
        <v>4340.2</v>
      </c>
      <c r="M23" s="36">
        <f t="shared" si="10"/>
        <v>2816.8</v>
      </c>
    </row>
    <row r="24" spans="1:18" ht="26.25" customHeight="1">
      <c r="A24" s="49"/>
      <c r="B24" s="17" t="s">
        <v>258</v>
      </c>
      <c r="C24" s="16"/>
      <c r="D24" s="50"/>
      <c r="E24" s="50">
        <v>200</v>
      </c>
      <c r="F24" s="50"/>
      <c r="G24" s="15">
        <f t="shared" si="0"/>
        <v>-200</v>
      </c>
      <c r="H24" s="15">
        <f t="shared" si="1"/>
        <v>0</v>
      </c>
      <c r="J24" s="5">
        <v>1023</v>
      </c>
      <c r="K24" s="36">
        <f>SUM(D42,)</f>
        <v>453.9</v>
      </c>
      <c r="L24" s="2">
        <f t="shared" ref="L24:M24" si="11">SUM(E42,)</f>
        <v>946.2</v>
      </c>
      <c r="M24" s="2">
        <f t="shared" si="11"/>
        <v>564.1</v>
      </c>
    </row>
    <row r="25" spans="1:18" ht="26.25" customHeight="1">
      <c r="A25" s="49"/>
      <c r="B25" s="17" t="s">
        <v>282</v>
      </c>
      <c r="C25" s="16"/>
      <c r="D25" s="50"/>
      <c r="E25" s="50"/>
      <c r="F25" s="50">
        <f>28.6+87.3</f>
        <v>115.9</v>
      </c>
      <c r="G25" s="15">
        <f t="shared" ref="G25" si="12">F25-E25</f>
        <v>115.9</v>
      </c>
      <c r="H25" s="56" t="e">
        <f t="shared" ref="H25" si="13">(F25/E25)*100</f>
        <v>#DIV/0!</v>
      </c>
      <c r="J25" s="90">
        <v>1024</v>
      </c>
      <c r="K25" s="36">
        <f>SUM(D227)</f>
        <v>154.30000000000001</v>
      </c>
      <c r="L25" s="36">
        <f t="shared" ref="L25:M25" si="14">SUM(E227)</f>
        <v>118</v>
      </c>
      <c r="M25" s="36">
        <f t="shared" si="14"/>
        <v>795.2</v>
      </c>
    </row>
    <row r="26" spans="1:18" ht="26.25" customHeight="1">
      <c r="A26" s="49"/>
      <c r="B26" s="17" t="s">
        <v>147</v>
      </c>
      <c r="C26" s="16" t="s">
        <v>205</v>
      </c>
      <c r="D26" s="50">
        <v>8.8000000000000007</v>
      </c>
      <c r="E26" s="50">
        <v>360</v>
      </c>
      <c r="F26" s="50">
        <f>14.9+118.7-90</f>
        <v>43.599999999999994</v>
      </c>
      <c r="G26" s="15">
        <f t="shared" si="0"/>
        <v>-316.39999999999998</v>
      </c>
      <c r="H26" s="15">
        <f t="shared" si="1"/>
        <v>12.111111111111111</v>
      </c>
      <c r="J26" s="90">
        <v>1025</v>
      </c>
      <c r="K26" s="36">
        <f>SUM(D43,D90,D127,D158,D207,)</f>
        <v>495</v>
      </c>
      <c r="L26" s="36">
        <f t="shared" ref="L26:M26" si="15">SUM(E43,E90,E127,E158,E207,)</f>
        <v>530.1</v>
      </c>
      <c r="M26" s="36">
        <f t="shared" si="15"/>
        <v>722.19999999999993</v>
      </c>
      <c r="N26" s="35"/>
      <c r="O26" s="35"/>
    </row>
    <row r="27" spans="1:18" ht="26.25" customHeight="1">
      <c r="A27" s="49"/>
      <c r="B27" s="17" t="s">
        <v>148</v>
      </c>
      <c r="C27" s="16"/>
      <c r="D27" s="50"/>
      <c r="E27" s="50">
        <v>100</v>
      </c>
      <c r="F27" s="50">
        <f>38.8+2.8</f>
        <v>41.599999999999994</v>
      </c>
      <c r="G27" s="15">
        <f t="shared" si="0"/>
        <v>-58.400000000000006</v>
      </c>
      <c r="H27" s="15">
        <f t="shared" si="1"/>
        <v>41.599999999999994</v>
      </c>
      <c r="K27" s="36"/>
      <c r="L27" s="36"/>
      <c r="M27" s="36"/>
      <c r="N27" s="35"/>
      <c r="O27" s="35"/>
      <c r="P27" s="20"/>
    </row>
    <row r="28" spans="1:18" ht="26.25" customHeight="1">
      <c r="A28" s="49"/>
      <c r="B28" s="17" t="s">
        <v>161</v>
      </c>
      <c r="C28" s="16"/>
      <c r="D28" s="50"/>
      <c r="E28" s="50">
        <v>10</v>
      </c>
      <c r="F28" s="50"/>
      <c r="G28" s="15">
        <f t="shared" si="0"/>
        <v>-10</v>
      </c>
      <c r="H28" s="15">
        <f t="shared" si="1"/>
        <v>0</v>
      </c>
      <c r="J28" s="90">
        <v>1030</v>
      </c>
      <c r="K28" s="92">
        <f>SUM(D48,D101,D144,D163,D217,)</f>
        <v>968.3</v>
      </c>
      <c r="L28" s="92">
        <f t="shared" ref="L28:M28" si="16">SUM(E48,E101,E144,E163,E217,)</f>
        <v>140.19999999999999</v>
      </c>
      <c r="M28" s="92">
        <f t="shared" si="16"/>
        <v>931.69999999999993</v>
      </c>
      <c r="N28" s="35"/>
      <c r="O28" s="35"/>
    </row>
    <row r="29" spans="1:18" ht="26.25" customHeight="1">
      <c r="A29" s="49"/>
      <c r="B29" s="17" t="s">
        <v>225</v>
      </c>
      <c r="C29" s="16"/>
      <c r="D29" s="50"/>
      <c r="E29" s="50">
        <v>18</v>
      </c>
      <c r="F29" s="50"/>
      <c r="G29" s="15">
        <f t="shared" si="0"/>
        <v>-18</v>
      </c>
      <c r="H29" s="15">
        <f t="shared" si="1"/>
        <v>0</v>
      </c>
      <c r="J29" s="90">
        <v>1031</v>
      </c>
      <c r="K29" s="36"/>
      <c r="L29" s="36"/>
      <c r="M29" s="36"/>
      <c r="N29" s="35"/>
      <c r="O29" s="35"/>
    </row>
    <row r="30" spans="1:18" ht="26.25" customHeight="1">
      <c r="A30" s="49"/>
      <c r="B30" s="17" t="s">
        <v>164</v>
      </c>
      <c r="C30" s="16"/>
      <c r="D30" s="50"/>
      <c r="E30" s="50">
        <v>99</v>
      </c>
      <c r="F30" s="50"/>
      <c r="G30" s="15">
        <f t="shared" si="0"/>
        <v>-99</v>
      </c>
      <c r="H30" s="15">
        <f t="shared" si="1"/>
        <v>0</v>
      </c>
      <c r="J30" s="90">
        <v>1032</v>
      </c>
      <c r="K30" s="36">
        <f>SUM(D49,)</f>
        <v>693.4</v>
      </c>
      <c r="L30" s="36">
        <f t="shared" ref="L30:M30" si="17">SUM(E49,)</f>
        <v>0</v>
      </c>
      <c r="M30" s="36">
        <f t="shared" si="17"/>
        <v>607</v>
      </c>
      <c r="N30" s="35"/>
      <c r="O30" s="35"/>
      <c r="R30" s="20"/>
    </row>
    <row r="31" spans="1:18" ht="26.25" customHeight="1">
      <c r="A31" s="49"/>
      <c r="B31" s="17" t="s">
        <v>162</v>
      </c>
      <c r="C31" s="16"/>
      <c r="D31" s="50"/>
      <c r="E31" s="50">
        <v>24</v>
      </c>
      <c r="F31" s="50"/>
      <c r="G31" s="15">
        <f t="shared" si="0"/>
        <v>-24</v>
      </c>
      <c r="H31" s="15">
        <f t="shared" si="1"/>
        <v>0</v>
      </c>
      <c r="J31" s="90">
        <v>1033</v>
      </c>
      <c r="K31" s="20">
        <f>SUM(D50)</f>
        <v>161.1</v>
      </c>
      <c r="L31" s="46">
        <f t="shared" ref="L31:M31" si="18">SUM(E50)</f>
        <v>0</v>
      </c>
      <c r="M31" s="46">
        <f t="shared" si="18"/>
        <v>224.4</v>
      </c>
      <c r="N31" s="35"/>
      <c r="O31" s="35"/>
    </row>
    <row r="32" spans="1:18" ht="26.25" customHeight="1">
      <c r="A32" s="49"/>
      <c r="B32" s="17" t="s">
        <v>163</v>
      </c>
      <c r="C32" s="16"/>
      <c r="D32" s="50">
        <v>160</v>
      </c>
      <c r="E32" s="50">
        <v>70</v>
      </c>
      <c r="F32" s="50">
        <f>84.3-65</f>
        <v>19.299999999999997</v>
      </c>
      <c r="G32" s="15">
        <f t="shared" si="0"/>
        <v>-50.7</v>
      </c>
      <c r="H32" s="15">
        <f t="shared" si="1"/>
        <v>27.571428571428569</v>
      </c>
      <c r="J32" s="90">
        <v>1034</v>
      </c>
      <c r="K32" s="20"/>
      <c r="L32" s="20"/>
      <c r="M32" s="20"/>
      <c r="N32" s="35"/>
      <c r="O32" s="35"/>
    </row>
    <row r="33" spans="1:15" s="114" customFormat="1" ht="26.25" customHeight="1">
      <c r="A33" s="49"/>
      <c r="B33" s="17" t="s">
        <v>155</v>
      </c>
      <c r="C33" s="16"/>
      <c r="D33" s="120"/>
      <c r="E33" s="120"/>
      <c r="F33" s="120">
        <f>47.6</f>
        <v>47.6</v>
      </c>
      <c r="G33" s="121">
        <f t="shared" ref="G33" si="19">F33-E33</f>
        <v>47.6</v>
      </c>
      <c r="H33" s="56" t="e">
        <f t="shared" ref="H33" si="20">(F33/E33)*100</f>
        <v>#DIV/0!</v>
      </c>
      <c r="J33" s="185">
        <v>1035</v>
      </c>
      <c r="K33" s="187">
        <f>SUM(D51,D102,D145,D164,D218)</f>
        <v>113.80000000000001</v>
      </c>
      <c r="L33" s="114">
        <f t="shared" ref="L33:M33" si="21">SUM(E51,E102,E145,E164,E218)</f>
        <v>140.19999999999999</v>
      </c>
      <c r="M33" s="114">
        <f t="shared" si="21"/>
        <v>100.3</v>
      </c>
      <c r="N33" s="122"/>
      <c r="O33" s="122"/>
    </row>
    <row r="34" spans="1:15" ht="29.25" customHeight="1">
      <c r="A34" s="49"/>
      <c r="B34" s="23" t="s">
        <v>149</v>
      </c>
      <c r="C34" s="16"/>
      <c r="D34" s="50">
        <v>18.600000000000001</v>
      </c>
      <c r="E34" s="50">
        <v>44</v>
      </c>
      <c r="F34" s="50"/>
      <c r="G34" s="15">
        <f t="shared" si="0"/>
        <v>-44</v>
      </c>
      <c r="H34" s="15">
        <f t="shared" si="1"/>
        <v>0</v>
      </c>
      <c r="J34" s="186"/>
      <c r="K34" s="48"/>
      <c r="L34" s="48"/>
      <c r="M34" s="48"/>
      <c r="N34" s="35"/>
      <c r="O34" s="35"/>
    </row>
    <row r="35" spans="1:15" ht="26.25" customHeight="1">
      <c r="A35" s="49"/>
      <c r="B35" s="17" t="s">
        <v>252</v>
      </c>
      <c r="C35" s="16"/>
      <c r="D35" s="50"/>
      <c r="E35" s="50">
        <v>7.6</v>
      </c>
      <c r="F35" s="50"/>
      <c r="G35" s="15">
        <f t="shared" si="0"/>
        <v>-7.6</v>
      </c>
      <c r="H35" s="15">
        <f t="shared" si="1"/>
        <v>0</v>
      </c>
      <c r="J35" s="90">
        <v>9000</v>
      </c>
      <c r="K35" s="20">
        <f t="shared" ref="K35:M39" si="22">K15+K22+K29</f>
        <v>13188.399999999998</v>
      </c>
      <c r="L35" s="46">
        <f t="shared" si="22"/>
        <v>12547.6</v>
      </c>
      <c r="M35" s="46">
        <f t="shared" si="22"/>
        <v>15623.5</v>
      </c>
      <c r="N35" s="2"/>
      <c r="O35" s="35"/>
    </row>
    <row r="36" spans="1:15" ht="26.25" customHeight="1">
      <c r="A36" s="49"/>
      <c r="B36" s="17" t="s">
        <v>208</v>
      </c>
      <c r="C36" s="16"/>
      <c r="D36" s="50">
        <v>14</v>
      </c>
      <c r="E36" s="50"/>
      <c r="F36" s="50">
        <f>26.9+16.9</f>
        <v>43.8</v>
      </c>
      <c r="G36" s="15">
        <f t="shared" si="0"/>
        <v>43.8</v>
      </c>
      <c r="H36" s="56" t="e">
        <f t="shared" si="1"/>
        <v>#DIV/0!</v>
      </c>
      <c r="J36" s="5">
        <v>9010</v>
      </c>
      <c r="K36" s="20">
        <f t="shared" si="22"/>
        <v>33618.1</v>
      </c>
      <c r="L36" s="2">
        <f t="shared" si="22"/>
        <v>45822.2</v>
      </c>
      <c r="M36" s="2">
        <f t="shared" si="22"/>
        <v>47682.400000000001</v>
      </c>
      <c r="N36" s="35"/>
      <c r="O36" s="35"/>
    </row>
    <row r="37" spans="1:15" ht="26.25" customHeight="1">
      <c r="A37" s="38" t="s">
        <v>88</v>
      </c>
      <c r="B37" s="22" t="s">
        <v>92</v>
      </c>
      <c r="C37" s="224">
        <v>1020</v>
      </c>
      <c r="D37" s="14">
        <f>D41+D42+D43+D38</f>
        <v>2966.2000000000003</v>
      </c>
      <c r="E37" s="14">
        <f>E41+E42+E43+E38</f>
        <v>5569</v>
      </c>
      <c r="F37" s="14">
        <f>F41+F42+F43+F38</f>
        <v>3633.8</v>
      </c>
      <c r="G37" s="19">
        <f t="shared" si="0"/>
        <v>-1935.1999999999998</v>
      </c>
      <c r="H37" s="19">
        <f t="shared" si="1"/>
        <v>65.250493804991933</v>
      </c>
      <c r="I37" s="85"/>
      <c r="J37" s="90">
        <v>9020</v>
      </c>
      <c r="K37" s="20">
        <f t="shared" si="22"/>
        <v>7192.2000000000007</v>
      </c>
      <c r="L37" s="20">
        <f t="shared" si="22"/>
        <v>9989.6</v>
      </c>
      <c r="M37" s="118">
        <f t="shared" si="22"/>
        <v>10087.5</v>
      </c>
      <c r="N37" s="35"/>
    </row>
    <row r="38" spans="1:15" ht="26.25" customHeight="1">
      <c r="A38" s="73" t="s">
        <v>243</v>
      </c>
      <c r="B38" s="69" t="s">
        <v>105</v>
      </c>
      <c r="C38" s="70">
        <v>1021</v>
      </c>
      <c r="D38" s="42">
        <f>SUM(D39:D40)</f>
        <v>5.9</v>
      </c>
      <c r="E38" s="42">
        <f t="shared" ref="E38" si="23">SUM(E39:E40)</f>
        <v>7.6</v>
      </c>
      <c r="F38" s="42">
        <f>SUM(F39:F40)</f>
        <v>27.6</v>
      </c>
      <c r="G38" s="43">
        <f t="shared" si="0"/>
        <v>20</v>
      </c>
      <c r="H38" s="43">
        <f t="shared" si="1"/>
        <v>363.15789473684214</v>
      </c>
      <c r="J38" s="90">
        <v>9030</v>
      </c>
      <c r="K38" s="20">
        <f t="shared" si="22"/>
        <v>2914.0000000000005</v>
      </c>
      <c r="L38" s="46">
        <f t="shared" si="22"/>
        <v>2258</v>
      </c>
      <c r="M38" s="46">
        <f t="shared" si="22"/>
        <v>4211.7</v>
      </c>
      <c r="N38" s="35"/>
    </row>
    <row r="39" spans="1:15" ht="26.25" customHeight="1">
      <c r="A39" s="75"/>
      <c r="B39" s="23" t="s">
        <v>224</v>
      </c>
      <c r="C39" s="11"/>
      <c r="D39" s="18">
        <v>2.8</v>
      </c>
      <c r="E39" s="18"/>
      <c r="F39" s="18">
        <v>27.6</v>
      </c>
      <c r="G39" s="15"/>
      <c r="H39" s="15"/>
      <c r="J39" s="90">
        <v>9040</v>
      </c>
      <c r="K39" s="20">
        <f t="shared" si="22"/>
        <v>5540.1000000000013</v>
      </c>
      <c r="L39" s="46">
        <f t="shared" si="22"/>
        <v>9323.5</v>
      </c>
      <c r="M39" s="46">
        <f t="shared" si="22"/>
        <v>8099.8</v>
      </c>
      <c r="N39" s="35"/>
    </row>
    <row r="40" spans="1:15" ht="39.75" customHeight="1">
      <c r="A40" s="38"/>
      <c r="B40" s="17" t="s">
        <v>158</v>
      </c>
      <c r="C40" s="11"/>
      <c r="D40" s="18">
        <v>3.1</v>
      </c>
      <c r="E40" s="18">
        <v>7.6</v>
      </c>
      <c r="F40" s="18"/>
      <c r="G40" s="19">
        <f t="shared" si="0"/>
        <v>-7.6</v>
      </c>
      <c r="H40" s="19">
        <f t="shared" si="1"/>
        <v>0</v>
      </c>
      <c r="J40" s="90">
        <v>9050</v>
      </c>
      <c r="K40" s="190">
        <f>SUM(K35:K39)</f>
        <v>62452.799999999996</v>
      </c>
      <c r="L40" s="191">
        <f>SUM(L35:L39)</f>
        <v>79940.899999999994</v>
      </c>
      <c r="M40" s="191">
        <f>SUM(M35:M39)</f>
        <v>85704.9</v>
      </c>
      <c r="N40" s="35"/>
    </row>
    <row r="41" spans="1:15" ht="31.5" customHeight="1">
      <c r="A41" s="39" t="s">
        <v>151</v>
      </c>
      <c r="B41" s="40" t="s">
        <v>2</v>
      </c>
      <c r="C41" s="47">
        <v>1022</v>
      </c>
      <c r="D41" s="42">
        <v>2308.4</v>
      </c>
      <c r="E41" s="42">
        <v>4340.2</v>
      </c>
      <c r="F41" s="42">
        <f>3364.4-547.6</f>
        <v>2816.8</v>
      </c>
      <c r="G41" s="43">
        <f t="shared" si="0"/>
        <v>-1523.3999999999996</v>
      </c>
      <c r="H41" s="43">
        <f t="shared" si="1"/>
        <v>64.900235012211425</v>
      </c>
      <c r="K41" s="28"/>
      <c r="L41" s="32"/>
      <c r="M41" s="32"/>
      <c r="O41" s="51"/>
    </row>
    <row r="42" spans="1:15" ht="26.25" customHeight="1">
      <c r="A42" s="39" t="s">
        <v>152</v>
      </c>
      <c r="B42" s="40" t="s">
        <v>3</v>
      </c>
      <c r="C42" s="47">
        <v>1023</v>
      </c>
      <c r="D42" s="42">
        <v>453.9</v>
      </c>
      <c r="E42" s="42">
        <v>946.2</v>
      </c>
      <c r="F42" s="42">
        <f>718.5-154.4</f>
        <v>564.1</v>
      </c>
      <c r="G42" s="43">
        <f t="shared" si="0"/>
        <v>-382.1</v>
      </c>
      <c r="H42" s="43">
        <f t="shared" si="1"/>
        <v>59.617417036567325</v>
      </c>
      <c r="J42" s="28"/>
      <c r="L42" s="32"/>
      <c r="M42" s="32"/>
      <c r="O42" s="51"/>
    </row>
    <row r="43" spans="1:15" ht="26.25" customHeight="1">
      <c r="A43" s="39" t="s">
        <v>153</v>
      </c>
      <c r="B43" s="40" t="s">
        <v>154</v>
      </c>
      <c r="C43" s="41">
        <v>1025</v>
      </c>
      <c r="D43" s="42">
        <f>SUM(D44:D47)</f>
        <v>198</v>
      </c>
      <c r="E43" s="42">
        <f>SUM(E44:E47)</f>
        <v>275</v>
      </c>
      <c r="F43" s="42">
        <f>SUM(F44:F47)</f>
        <v>225.3</v>
      </c>
      <c r="G43" s="43">
        <f t="shared" si="0"/>
        <v>-49.699999999999989</v>
      </c>
      <c r="H43" s="43">
        <f t="shared" si="1"/>
        <v>81.927272727272722</v>
      </c>
      <c r="I43" s="36"/>
      <c r="L43" s="32"/>
      <c r="M43" s="32"/>
      <c r="N43" s="52"/>
      <c r="O43" s="52"/>
    </row>
    <row r="44" spans="1:15" ht="26.25" customHeight="1">
      <c r="A44" s="53"/>
      <c r="B44" s="17" t="s">
        <v>164</v>
      </c>
      <c r="C44" s="45"/>
      <c r="D44" s="18"/>
      <c r="E44" s="18">
        <v>35</v>
      </c>
      <c r="F44" s="18"/>
      <c r="G44" s="15">
        <f t="shared" si="0"/>
        <v>-35</v>
      </c>
      <c r="H44" s="15">
        <f t="shared" si="1"/>
        <v>0</v>
      </c>
      <c r="N44" s="52"/>
      <c r="O44" s="52"/>
    </row>
    <row r="45" spans="1:15" ht="26.25" customHeight="1">
      <c r="A45" s="53"/>
      <c r="B45" s="17" t="s">
        <v>165</v>
      </c>
      <c r="C45" s="16"/>
      <c r="D45" s="50"/>
      <c r="E45" s="50"/>
      <c r="F45" s="50">
        <v>4.2</v>
      </c>
      <c r="G45" s="15"/>
      <c r="H45" s="15"/>
      <c r="N45" s="52"/>
      <c r="O45" s="52"/>
    </row>
    <row r="46" spans="1:15" ht="26.25" customHeight="1">
      <c r="A46" s="53"/>
      <c r="B46" s="17" t="s">
        <v>422</v>
      </c>
      <c r="C46" s="45"/>
      <c r="D46" s="18"/>
      <c r="E46" s="18">
        <v>30</v>
      </c>
      <c r="F46" s="18">
        <v>23.1</v>
      </c>
      <c r="G46" s="15">
        <f t="shared" si="0"/>
        <v>-6.8999999999999986</v>
      </c>
      <c r="H46" s="15">
        <f t="shared" si="1"/>
        <v>77</v>
      </c>
      <c r="N46" s="52"/>
      <c r="O46" s="52"/>
    </row>
    <row r="47" spans="1:15" ht="27" customHeight="1">
      <c r="A47" s="53"/>
      <c r="B47" s="17" t="s">
        <v>221</v>
      </c>
      <c r="C47" s="45"/>
      <c r="D47" s="18">
        <v>198</v>
      </c>
      <c r="E47" s="18">
        <v>210</v>
      </c>
      <c r="F47" s="18">
        <v>198</v>
      </c>
      <c r="G47" s="15">
        <f t="shared" si="0"/>
        <v>-12</v>
      </c>
      <c r="H47" s="15">
        <f t="shared" si="1"/>
        <v>94.285714285714278</v>
      </c>
      <c r="N47" s="51"/>
      <c r="O47" s="51"/>
    </row>
    <row r="48" spans="1:15" ht="25.5" customHeight="1">
      <c r="A48" s="38" t="s">
        <v>91</v>
      </c>
      <c r="B48" s="225" t="s">
        <v>93</v>
      </c>
      <c r="C48" s="224">
        <v>1030</v>
      </c>
      <c r="D48" s="14">
        <f>D49+D50+D51</f>
        <v>854.5</v>
      </c>
      <c r="E48" s="14">
        <f>E49+E50+E51</f>
        <v>15</v>
      </c>
      <c r="F48" s="14">
        <f>F49+F50+F51</f>
        <v>831.4</v>
      </c>
      <c r="G48" s="19">
        <f t="shared" si="0"/>
        <v>816.4</v>
      </c>
      <c r="H48" s="19">
        <f t="shared" si="1"/>
        <v>5542.6666666666661</v>
      </c>
      <c r="M48" s="46"/>
    </row>
    <row r="49" spans="1:18" ht="26.25" customHeight="1">
      <c r="A49" s="39" t="s">
        <v>156</v>
      </c>
      <c r="B49" s="40" t="s">
        <v>2</v>
      </c>
      <c r="C49" s="47">
        <v>1032</v>
      </c>
      <c r="D49" s="42">
        <v>693.4</v>
      </c>
      <c r="E49" s="42"/>
      <c r="F49" s="42">
        <v>607</v>
      </c>
      <c r="G49" s="43">
        <f t="shared" si="0"/>
        <v>607</v>
      </c>
      <c r="H49" s="184" t="e">
        <f t="shared" si="1"/>
        <v>#DIV/0!</v>
      </c>
    </row>
    <row r="50" spans="1:18" ht="23.25" customHeight="1">
      <c r="A50" s="39" t="s">
        <v>157</v>
      </c>
      <c r="B50" s="40" t="s">
        <v>3</v>
      </c>
      <c r="C50" s="47">
        <v>1033</v>
      </c>
      <c r="D50" s="42">
        <v>161.1</v>
      </c>
      <c r="E50" s="42"/>
      <c r="F50" s="42">
        <v>224.4</v>
      </c>
      <c r="G50" s="43">
        <f t="shared" si="0"/>
        <v>224.4</v>
      </c>
      <c r="H50" s="184" t="e">
        <f t="shared" si="1"/>
        <v>#DIV/0!</v>
      </c>
      <c r="L50" s="54"/>
      <c r="M50" s="54"/>
      <c r="R50" s="220"/>
    </row>
    <row r="51" spans="1:18" ht="23.25" customHeight="1">
      <c r="A51" s="39" t="s">
        <v>231</v>
      </c>
      <c r="B51" s="40" t="s">
        <v>93</v>
      </c>
      <c r="C51" s="47">
        <v>1035</v>
      </c>
      <c r="D51" s="42">
        <f>D52</f>
        <v>0</v>
      </c>
      <c r="E51" s="42">
        <f>E52</f>
        <v>15</v>
      </c>
      <c r="F51" s="42">
        <f>F52</f>
        <v>0</v>
      </c>
      <c r="G51" s="43">
        <f t="shared" si="0"/>
        <v>-15</v>
      </c>
      <c r="H51" s="43">
        <f t="shared" si="1"/>
        <v>0</v>
      </c>
      <c r="L51" s="54"/>
      <c r="M51" s="54"/>
    </row>
    <row r="52" spans="1:18" ht="23.25" customHeight="1">
      <c r="A52" s="39"/>
      <c r="B52" s="17" t="s">
        <v>230</v>
      </c>
      <c r="C52" s="47"/>
      <c r="D52" s="18"/>
      <c r="E52" s="18">
        <v>15</v>
      </c>
      <c r="F52" s="18"/>
      <c r="G52" s="43">
        <f t="shared" si="0"/>
        <v>-15</v>
      </c>
      <c r="H52" s="43">
        <f t="shared" si="1"/>
        <v>0</v>
      </c>
      <c r="L52" s="54"/>
      <c r="M52" s="54"/>
    </row>
    <row r="53" spans="1:18" ht="27.75" customHeight="1">
      <c r="A53" s="53" t="s">
        <v>94</v>
      </c>
      <c r="B53" s="57" t="s">
        <v>222</v>
      </c>
      <c r="C53" s="55"/>
      <c r="D53" s="14">
        <f>D55+D86+D101</f>
        <v>618.70000000000005</v>
      </c>
      <c r="E53" s="14">
        <f>E55+E86+E101</f>
        <v>794.30000000000018</v>
      </c>
      <c r="F53" s="14">
        <f>F55+F86+F101</f>
        <v>722.5</v>
      </c>
      <c r="G53" s="19">
        <f t="shared" si="0"/>
        <v>-71.800000000000182</v>
      </c>
      <c r="H53" s="19">
        <f t="shared" si="1"/>
        <v>90.960594233916638</v>
      </c>
      <c r="I53" s="36"/>
      <c r="J53" s="28"/>
      <c r="K53" s="28"/>
      <c r="L53" s="20"/>
    </row>
    <row r="54" spans="1:18" ht="30.75" customHeight="1">
      <c r="A54" s="39"/>
      <c r="B54" s="40" t="s">
        <v>86</v>
      </c>
      <c r="C54" s="47"/>
      <c r="D54" s="42"/>
      <c r="E54" s="42"/>
      <c r="F54" s="42"/>
      <c r="G54" s="43"/>
      <c r="H54" s="43"/>
      <c r="K54" s="28"/>
    </row>
    <row r="55" spans="1:18" ht="27.75" customHeight="1">
      <c r="A55" s="53" t="s">
        <v>428</v>
      </c>
      <c r="B55" s="57" t="s">
        <v>90</v>
      </c>
      <c r="C55" s="55">
        <v>1010</v>
      </c>
      <c r="D55" s="14">
        <f>D56+D62+D63+D64+D65</f>
        <v>545.6</v>
      </c>
      <c r="E55" s="14">
        <f>E56+E62+E63+E65</f>
        <v>592.90000000000009</v>
      </c>
      <c r="F55" s="14">
        <f>F56+F62+F63+F65+F64</f>
        <v>530.9</v>
      </c>
      <c r="G55" s="19">
        <f t="shared" si="0"/>
        <v>-62.000000000000114</v>
      </c>
      <c r="H55" s="19">
        <f t="shared" si="1"/>
        <v>89.542924607859646</v>
      </c>
    </row>
    <row r="56" spans="1:18" ht="27.75" customHeight="1">
      <c r="A56" s="39" t="s">
        <v>429</v>
      </c>
      <c r="B56" s="40" t="s">
        <v>105</v>
      </c>
      <c r="C56" s="47">
        <v>1011</v>
      </c>
      <c r="D56" s="42">
        <f>SUM(D57:D61)</f>
        <v>159.69999999999999</v>
      </c>
      <c r="E56" s="42">
        <f>SUM(E57:E61)</f>
        <v>131</v>
      </c>
      <c r="F56" s="42">
        <f>SUM(F57:F61)</f>
        <v>76.400000000000006</v>
      </c>
      <c r="G56" s="43">
        <f t="shared" ref="G56:G104" si="24">F56-E56</f>
        <v>-54.599999999999994</v>
      </c>
      <c r="H56" s="43">
        <f t="shared" ref="H56:H104" si="25">(F56/E56)*100</f>
        <v>58.320610687022899</v>
      </c>
    </row>
    <row r="57" spans="1:18" ht="27.75" customHeight="1">
      <c r="A57" s="39"/>
      <c r="B57" s="17" t="s">
        <v>136</v>
      </c>
      <c r="C57" s="16"/>
      <c r="D57" s="18">
        <v>21.4</v>
      </c>
      <c r="E57" s="18">
        <v>40</v>
      </c>
      <c r="F57" s="18">
        <v>6.3</v>
      </c>
      <c r="G57" s="15">
        <f t="shared" si="24"/>
        <v>-33.700000000000003</v>
      </c>
      <c r="H57" s="43">
        <f t="shared" si="25"/>
        <v>15.75</v>
      </c>
    </row>
    <row r="58" spans="1:18" ht="27.75" customHeight="1">
      <c r="A58" s="39"/>
      <c r="B58" s="17" t="s">
        <v>137</v>
      </c>
      <c r="C58" s="16"/>
      <c r="D58" s="18">
        <v>6.5</v>
      </c>
      <c r="E58" s="18">
        <v>8</v>
      </c>
      <c r="F58" s="18"/>
      <c r="G58" s="15">
        <f t="shared" si="24"/>
        <v>-8</v>
      </c>
      <c r="H58" s="43">
        <f t="shared" si="25"/>
        <v>0</v>
      </c>
    </row>
    <row r="59" spans="1:18" ht="27.75" customHeight="1">
      <c r="A59" s="39"/>
      <c r="B59" s="17" t="s">
        <v>224</v>
      </c>
      <c r="C59" s="16"/>
      <c r="D59" s="18"/>
      <c r="E59" s="18">
        <v>10</v>
      </c>
      <c r="F59" s="18">
        <v>1.4</v>
      </c>
      <c r="G59" s="15">
        <f t="shared" si="24"/>
        <v>-8.6</v>
      </c>
      <c r="H59" s="43">
        <f t="shared" si="25"/>
        <v>13.999999999999998</v>
      </c>
    </row>
    <row r="60" spans="1:18" ht="39" customHeight="1">
      <c r="A60" s="39"/>
      <c r="B60" s="17" t="s">
        <v>158</v>
      </c>
      <c r="C60" s="16"/>
      <c r="D60" s="18">
        <v>102.8</v>
      </c>
      <c r="E60" s="18">
        <v>50</v>
      </c>
      <c r="F60" s="18">
        <f>90.4-34.3</f>
        <v>56.100000000000009</v>
      </c>
      <c r="G60" s="15">
        <f t="shared" si="24"/>
        <v>6.1000000000000085</v>
      </c>
      <c r="H60" s="43">
        <f t="shared" si="25"/>
        <v>112.20000000000002</v>
      </c>
    </row>
    <row r="61" spans="1:18" ht="25.5" customHeight="1">
      <c r="A61" s="39"/>
      <c r="B61" s="116" t="s">
        <v>159</v>
      </c>
      <c r="C61" s="16"/>
      <c r="D61" s="18">
        <v>29</v>
      </c>
      <c r="E61" s="18">
        <v>23</v>
      </c>
      <c r="F61" s="18">
        <v>12.6</v>
      </c>
      <c r="G61" s="15">
        <f t="shared" si="24"/>
        <v>-10.4</v>
      </c>
      <c r="H61" s="43">
        <f t="shared" si="25"/>
        <v>54.782608695652172</v>
      </c>
    </row>
    <row r="62" spans="1:18" ht="25.5" customHeight="1">
      <c r="A62" s="39" t="s">
        <v>430</v>
      </c>
      <c r="B62" s="58" t="s">
        <v>2</v>
      </c>
      <c r="C62" s="47">
        <v>1012</v>
      </c>
      <c r="D62" s="42">
        <v>170.8</v>
      </c>
      <c r="E62" s="42">
        <v>140</v>
      </c>
      <c r="F62" s="42">
        <v>159.19999999999999</v>
      </c>
      <c r="G62" s="43">
        <f t="shared" si="24"/>
        <v>19.199999999999989</v>
      </c>
      <c r="H62" s="43">
        <f t="shared" si="25"/>
        <v>113.71428571428569</v>
      </c>
      <c r="K62" s="86"/>
    </row>
    <row r="63" spans="1:18" ht="25.5" customHeight="1">
      <c r="A63" s="39" t="s">
        <v>431</v>
      </c>
      <c r="B63" s="58" t="s">
        <v>3</v>
      </c>
      <c r="C63" s="47">
        <v>1013</v>
      </c>
      <c r="D63" s="42">
        <v>37.6</v>
      </c>
      <c r="E63" s="42">
        <v>30.8</v>
      </c>
      <c r="F63" s="42">
        <v>33.200000000000003</v>
      </c>
      <c r="G63" s="43">
        <f t="shared" si="24"/>
        <v>2.4000000000000021</v>
      </c>
      <c r="H63" s="43">
        <f t="shared" si="25"/>
        <v>107.79220779220779</v>
      </c>
    </row>
    <row r="64" spans="1:18" ht="25.5" customHeight="1">
      <c r="A64" s="39" t="s">
        <v>432</v>
      </c>
      <c r="B64" s="58" t="s">
        <v>4</v>
      </c>
      <c r="C64" s="47">
        <v>1014</v>
      </c>
      <c r="D64" s="42">
        <v>19.3</v>
      </c>
      <c r="E64" s="42"/>
      <c r="F64" s="42">
        <v>53.5</v>
      </c>
      <c r="G64" s="43">
        <f t="shared" si="24"/>
        <v>53.5</v>
      </c>
      <c r="H64" s="184" t="e">
        <f t="shared" si="25"/>
        <v>#DIV/0!</v>
      </c>
      <c r="I64" s="20"/>
    </row>
    <row r="65" spans="1:9" ht="25.5" customHeight="1">
      <c r="A65" s="39" t="s">
        <v>433</v>
      </c>
      <c r="B65" s="59" t="s">
        <v>97</v>
      </c>
      <c r="C65" s="47">
        <v>1015</v>
      </c>
      <c r="D65" s="42">
        <f>SUM(D66:D85)</f>
        <v>158.19999999999999</v>
      </c>
      <c r="E65" s="42">
        <f>SUM(E66:E85)</f>
        <v>291.10000000000002</v>
      </c>
      <c r="F65" s="42">
        <f>SUM(F66:F85)</f>
        <v>208.6</v>
      </c>
      <c r="G65" s="43">
        <f t="shared" si="24"/>
        <v>-82.500000000000028</v>
      </c>
      <c r="H65" s="43">
        <f t="shared" si="25"/>
        <v>71.659223634489848</v>
      </c>
      <c r="I65" s="20"/>
    </row>
    <row r="66" spans="1:9" ht="25.5" customHeight="1">
      <c r="A66" s="53"/>
      <c r="B66" s="21" t="s">
        <v>143</v>
      </c>
      <c r="C66" s="16"/>
      <c r="D66" s="18">
        <v>0.2</v>
      </c>
      <c r="E66" s="18">
        <v>7.5</v>
      </c>
      <c r="F66" s="18"/>
      <c r="G66" s="15">
        <f t="shared" si="24"/>
        <v>-7.5</v>
      </c>
      <c r="H66" s="43">
        <f t="shared" si="25"/>
        <v>0</v>
      </c>
    </row>
    <row r="67" spans="1:9" ht="25.5" customHeight="1">
      <c r="A67" s="53"/>
      <c r="B67" s="21" t="s">
        <v>147</v>
      </c>
      <c r="C67" s="16"/>
      <c r="D67" s="18">
        <v>10.1</v>
      </c>
      <c r="E67" s="18">
        <v>40</v>
      </c>
      <c r="F67" s="18">
        <f>36.4</f>
        <v>36.4</v>
      </c>
      <c r="G67" s="15">
        <f t="shared" si="24"/>
        <v>-3.6000000000000014</v>
      </c>
      <c r="H67" s="43">
        <f t="shared" si="25"/>
        <v>90.999999999999986</v>
      </c>
    </row>
    <row r="68" spans="1:9" ht="25.5" customHeight="1">
      <c r="A68" s="53"/>
      <c r="B68" s="21" t="s">
        <v>225</v>
      </c>
      <c r="C68" s="16"/>
      <c r="D68" s="18">
        <v>12.7</v>
      </c>
      <c r="E68" s="18"/>
      <c r="F68" s="18">
        <v>18.3</v>
      </c>
      <c r="G68" s="15">
        <f t="shared" si="24"/>
        <v>18.3</v>
      </c>
      <c r="H68" s="184" t="e">
        <f t="shared" si="25"/>
        <v>#DIV/0!</v>
      </c>
    </row>
    <row r="69" spans="1:9" ht="25.5" customHeight="1">
      <c r="A69" s="53"/>
      <c r="B69" s="21" t="s">
        <v>160</v>
      </c>
      <c r="C69" s="16"/>
      <c r="D69" s="18"/>
      <c r="E69" s="18">
        <v>2</v>
      </c>
      <c r="F69" s="18"/>
      <c r="G69" s="15">
        <f t="shared" si="24"/>
        <v>-2</v>
      </c>
      <c r="H69" s="43">
        <f t="shared" si="25"/>
        <v>0</v>
      </c>
    </row>
    <row r="70" spans="1:9" ht="25.5" customHeight="1">
      <c r="A70" s="53"/>
      <c r="B70" s="21" t="s">
        <v>161</v>
      </c>
      <c r="C70" s="16"/>
      <c r="D70" s="18"/>
      <c r="E70" s="18">
        <v>40</v>
      </c>
      <c r="F70" s="18">
        <v>2.2000000000000002</v>
      </c>
      <c r="G70" s="15">
        <f t="shared" si="24"/>
        <v>-37.799999999999997</v>
      </c>
      <c r="H70" s="43">
        <f t="shared" si="25"/>
        <v>5.5000000000000009</v>
      </c>
    </row>
    <row r="71" spans="1:9" ht="25.5" customHeight="1">
      <c r="A71" s="53"/>
      <c r="B71" s="21" t="s">
        <v>149</v>
      </c>
      <c r="C71" s="16"/>
      <c r="D71" s="18">
        <v>24.7</v>
      </c>
      <c r="E71" s="18">
        <v>22</v>
      </c>
      <c r="F71" s="18">
        <v>56.2</v>
      </c>
      <c r="G71" s="15">
        <f t="shared" si="24"/>
        <v>34.200000000000003</v>
      </c>
      <c r="H71" s="43">
        <f t="shared" si="25"/>
        <v>255.45454545454547</v>
      </c>
    </row>
    <row r="72" spans="1:9" ht="25.5" customHeight="1">
      <c r="A72" s="53"/>
      <c r="B72" s="21" t="s">
        <v>162</v>
      </c>
      <c r="C72" s="16"/>
      <c r="D72" s="18">
        <v>2.7</v>
      </c>
      <c r="E72" s="18">
        <v>12</v>
      </c>
      <c r="F72" s="18">
        <f>2.7</f>
        <v>2.7</v>
      </c>
      <c r="G72" s="15">
        <f t="shared" si="24"/>
        <v>-9.3000000000000007</v>
      </c>
      <c r="H72" s="43">
        <f t="shared" si="25"/>
        <v>22.5</v>
      </c>
    </row>
    <row r="73" spans="1:9" ht="25.5" customHeight="1">
      <c r="A73" s="53"/>
      <c r="B73" s="21" t="s">
        <v>207</v>
      </c>
      <c r="C73" s="16"/>
      <c r="D73" s="18"/>
      <c r="E73" s="18">
        <v>25</v>
      </c>
      <c r="F73" s="18"/>
      <c r="G73" s="15">
        <f t="shared" si="24"/>
        <v>-25</v>
      </c>
      <c r="H73" s="43">
        <f t="shared" si="25"/>
        <v>0</v>
      </c>
    </row>
    <row r="74" spans="1:9" ht="25.5" customHeight="1">
      <c r="A74" s="53"/>
      <c r="B74" s="60" t="s">
        <v>226</v>
      </c>
      <c r="C74" s="16"/>
      <c r="D74" s="18">
        <v>75.599999999999994</v>
      </c>
      <c r="E74" s="18">
        <v>100</v>
      </c>
      <c r="F74" s="18"/>
      <c r="G74" s="15">
        <f t="shared" si="24"/>
        <v>-100</v>
      </c>
      <c r="H74" s="43">
        <f t="shared" si="25"/>
        <v>0</v>
      </c>
    </row>
    <row r="75" spans="1:9" ht="27.75" customHeight="1">
      <c r="A75" s="53"/>
      <c r="B75" s="17" t="s">
        <v>228</v>
      </c>
      <c r="C75" s="16"/>
      <c r="D75" s="18">
        <v>1.5</v>
      </c>
      <c r="E75" s="18"/>
      <c r="F75" s="18"/>
      <c r="G75" s="15">
        <f t="shared" si="24"/>
        <v>0</v>
      </c>
      <c r="H75" s="184" t="e">
        <f t="shared" si="25"/>
        <v>#DIV/0!</v>
      </c>
    </row>
    <row r="76" spans="1:9" ht="27.75" customHeight="1">
      <c r="A76" s="53"/>
      <c r="B76" s="17" t="s">
        <v>318</v>
      </c>
      <c r="C76" s="16"/>
      <c r="D76" s="18">
        <v>13.6</v>
      </c>
      <c r="E76" s="18"/>
      <c r="F76" s="18"/>
      <c r="G76" s="15">
        <f t="shared" si="24"/>
        <v>0</v>
      </c>
      <c r="H76" s="184" t="e">
        <f t="shared" si="25"/>
        <v>#DIV/0!</v>
      </c>
    </row>
    <row r="77" spans="1:9" ht="27.75" customHeight="1">
      <c r="A77" s="53"/>
      <c r="B77" s="17" t="s">
        <v>209</v>
      </c>
      <c r="C77" s="16"/>
      <c r="D77" s="18">
        <v>4.5</v>
      </c>
      <c r="E77" s="18">
        <v>4</v>
      </c>
      <c r="F77" s="18">
        <v>2.9</v>
      </c>
      <c r="G77" s="15">
        <f t="shared" si="24"/>
        <v>-1.1000000000000001</v>
      </c>
      <c r="H77" s="43">
        <f t="shared" si="25"/>
        <v>72.5</v>
      </c>
    </row>
    <row r="78" spans="1:9" ht="27.75" customHeight="1">
      <c r="A78" s="53"/>
      <c r="B78" s="60" t="s">
        <v>166</v>
      </c>
      <c r="C78" s="16"/>
      <c r="D78" s="18"/>
      <c r="E78" s="18">
        <v>7.5</v>
      </c>
      <c r="F78" s="18">
        <v>55.3</v>
      </c>
      <c r="G78" s="15">
        <f t="shared" si="24"/>
        <v>47.8</v>
      </c>
      <c r="H78" s="43">
        <f t="shared" si="25"/>
        <v>737.33333333333326</v>
      </c>
    </row>
    <row r="79" spans="1:9" ht="27.75" customHeight="1">
      <c r="A79" s="53"/>
      <c r="B79" s="61" t="s">
        <v>167</v>
      </c>
      <c r="C79" s="16"/>
      <c r="D79" s="18">
        <v>3.7</v>
      </c>
      <c r="E79" s="18">
        <v>6.5</v>
      </c>
      <c r="F79" s="18">
        <v>5.4</v>
      </c>
      <c r="G79" s="15">
        <f t="shared" si="24"/>
        <v>-1.0999999999999996</v>
      </c>
      <c r="H79" s="43">
        <f t="shared" si="25"/>
        <v>83.07692307692308</v>
      </c>
    </row>
    <row r="80" spans="1:9" ht="27.75" customHeight="1">
      <c r="A80" s="53"/>
      <c r="B80" s="26" t="s">
        <v>168</v>
      </c>
      <c r="C80" s="16"/>
      <c r="D80" s="18">
        <v>8.9</v>
      </c>
      <c r="E80" s="18">
        <v>10</v>
      </c>
      <c r="F80" s="18">
        <v>23.2</v>
      </c>
      <c r="G80" s="15">
        <f t="shared" si="24"/>
        <v>13.2</v>
      </c>
      <c r="H80" s="43">
        <f t="shared" si="25"/>
        <v>231.99999999999997</v>
      </c>
    </row>
    <row r="81" spans="1:8" ht="27.75" customHeight="1">
      <c r="A81" s="53"/>
      <c r="B81" s="61" t="s">
        <v>424</v>
      </c>
      <c r="C81" s="16"/>
      <c r="D81" s="18"/>
      <c r="E81" s="18"/>
      <c r="F81" s="18">
        <v>0.4</v>
      </c>
      <c r="G81" s="15">
        <f t="shared" si="24"/>
        <v>0.4</v>
      </c>
      <c r="H81" s="184" t="e">
        <f t="shared" si="25"/>
        <v>#DIV/0!</v>
      </c>
    </row>
    <row r="82" spans="1:8" ht="27.75" customHeight="1">
      <c r="A82" s="53"/>
      <c r="B82" s="61" t="s">
        <v>425</v>
      </c>
      <c r="C82" s="16"/>
      <c r="D82" s="18"/>
      <c r="E82" s="18"/>
      <c r="F82" s="18">
        <f>5.6</f>
        <v>5.6</v>
      </c>
      <c r="G82" s="15">
        <f t="shared" si="24"/>
        <v>5.6</v>
      </c>
      <c r="H82" s="184" t="e">
        <f t="shared" si="25"/>
        <v>#DIV/0!</v>
      </c>
    </row>
    <row r="83" spans="1:8" ht="27.75" customHeight="1">
      <c r="A83" s="53"/>
      <c r="B83" s="61" t="s">
        <v>319</v>
      </c>
      <c r="C83" s="47"/>
      <c r="D83" s="42"/>
      <c r="E83" s="18">
        <v>5.5</v>
      </c>
      <c r="F83" s="287"/>
      <c r="G83" s="43">
        <f t="shared" si="24"/>
        <v>-5.5</v>
      </c>
      <c r="H83" s="43">
        <f t="shared" si="25"/>
        <v>0</v>
      </c>
    </row>
    <row r="84" spans="1:8" ht="27.75" customHeight="1">
      <c r="A84" s="53"/>
      <c r="B84" s="61" t="s">
        <v>423</v>
      </c>
      <c r="C84" s="47"/>
      <c r="D84" s="42"/>
      <c r="E84" s="18">
        <v>1.5</v>
      </c>
      <c r="F84" s="287"/>
      <c r="G84" s="43">
        <f t="shared" si="24"/>
        <v>-1.5</v>
      </c>
      <c r="H84" s="43">
        <f t="shared" si="25"/>
        <v>0</v>
      </c>
    </row>
    <row r="85" spans="1:8" ht="27.75" customHeight="1">
      <c r="A85" s="53"/>
      <c r="B85" s="61" t="s">
        <v>252</v>
      </c>
      <c r="C85" s="47"/>
      <c r="D85" s="42"/>
      <c r="E85" s="18">
        <v>7.6</v>
      </c>
      <c r="F85" s="18"/>
      <c r="G85" s="43">
        <f t="shared" si="24"/>
        <v>-7.6</v>
      </c>
      <c r="H85" s="43">
        <f t="shared" si="25"/>
        <v>0</v>
      </c>
    </row>
    <row r="86" spans="1:8" ht="27.75" customHeight="1">
      <c r="A86" s="53" t="s">
        <v>434</v>
      </c>
      <c r="B86" s="62" t="s">
        <v>92</v>
      </c>
      <c r="C86" s="63">
        <v>1020</v>
      </c>
      <c r="D86" s="42">
        <f>D87+D90</f>
        <v>72.499999999999986</v>
      </c>
      <c r="E86" s="42">
        <f>E87+E90</f>
        <v>124.2</v>
      </c>
      <c r="F86" s="42">
        <f>F87+F90</f>
        <v>191.59999999999997</v>
      </c>
      <c r="G86" s="43">
        <f t="shared" si="24"/>
        <v>67.399999999999963</v>
      </c>
      <c r="H86" s="43">
        <f t="shared" si="25"/>
        <v>154.2673107890499</v>
      </c>
    </row>
    <row r="87" spans="1:8" ht="27.75" customHeight="1">
      <c r="A87" s="39" t="s">
        <v>435</v>
      </c>
      <c r="B87" s="64" t="s">
        <v>105</v>
      </c>
      <c r="C87" s="41">
        <v>1021</v>
      </c>
      <c r="D87" s="42">
        <f>SUM(D88:D89)</f>
        <v>4.8</v>
      </c>
      <c r="E87" s="42">
        <f>SUM(E88:E89)</f>
        <v>0</v>
      </c>
      <c r="F87" s="42">
        <f>SUM(F88:F89)</f>
        <v>0</v>
      </c>
      <c r="G87" s="43">
        <f t="shared" si="24"/>
        <v>0</v>
      </c>
      <c r="H87" s="184" t="e">
        <f t="shared" si="25"/>
        <v>#DIV/0!</v>
      </c>
    </row>
    <row r="88" spans="1:8" ht="27.75" customHeight="1">
      <c r="A88" s="39"/>
      <c r="B88" s="60" t="s">
        <v>159</v>
      </c>
      <c r="C88" s="41"/>
      <c r="D88" s="18">
        <v>3.9</v>
      </c>
      <c r="E88" s="42"/>
      <c r="F88" s="18"/>
      <c r="G88" s="43">
        <f t="shared" si="24"/>
        <v>0</v>
      </c>
      <c r="H88" s="184" t="e">
        <f t="shared" si="25"/>
        <v>#DIV/0!</v>
      </c>
    </row>
    <row r="89" spans="1:8" ht="40.5" customHeight="1">
      <c r="A89" s="39"/>
      <c r="B89" s="17" t="s">
        <v>158</v>
      </c>
      <c r="C89" s="45"/>
      <c r="D89" s="18">
        <v>0.9</v>
      </c>
      <c r="E89" s="18"/>
      <c r="F89" s="18"/>
      <c r="G89" s="43">
        <f t="shared" si="24"/>
        <v>0</v>
      </c>
      <c r="H89" s="184" t="e">
        <f t="shared" si="25"/>
        <v>#DIV/0!</v>
      </c>
    </row>
    <row r="90" spans="1:8" ht="27.75" customHeight="1">
      <c r="A90" s="39" t="s">
        <v>436</v>
      </c>
      <c r="B90" s="59" t="s">
        <v>171</v>
      </c>
      <c r="C90" s="41">
        <v>1025</v>
      </c>
      <c r="D90" s="42">
        <f>SUM(D91:D100)</f>
        <v>67.699999999999989</v>
      </c>
      <c r="E90" s="42">
        <f>SUM(E91:E100)</f>
        <v>124.2</v>
      </c>
      <c r="F90" s="42">
        <f>SUM(F91:F100)</f>
        <v>191.59999999999997</v>
      </c>
      <c r="G90" s="43">
        <f t="shared" si="24"/>
        <v>67.399999999999963</v>
      </c>
      <c r="H90" s="43">
        <f t="shared" si="25"/>
        <v>154.2673107890499</v>
      </c>
    </row>
    <row r="91" spans="1:8" ht="27.75" customHeight="1">
      <c r="A91" s="53"/>
      <c r="B91" s="25" t="s">
        <v>150</v>
      </c>
      <c r="C91" s="45"/>
      <c r="D91" s="18">
        <v>38</v>
      </c>
      <c r="E91" s="18">
        <v>90</v>
      </c>
      <c r="F91" s="18">
        <f>1.1+76.9</f>
        <v>78</v>
      </c>
      <c r="G91" s="43">
        <f t="shared" si="24"/>
        <v>-12</v>
      </c>
      <c r="H91" s="43">
        <f t="shared" si="25"/>
        <v>86.666666666666671</v>
      </c>
    </row>
    <row r="92" spans="1:8" ht="27.75" customHeight="1">
      <c r="A92" s="53"/>
      <c r="B92" s="21" t="s">
        <v>162</v>
      </c>
      <c r="C92" s="45"/>
      <c r="D92" s="18">
        <v>0.9</v>
      </c>
      <c r="E92" s="18">
        <v>16</v>
      </c>
      <c r="F92" s="18">
        <f>41.6</f>
        <v>41.6</v>
      </c>
      <c r="G92" s="43">
        <f t="shared" si="24"/>
        <v>25.6</v>
      </c>
      <c r="H92" s="43">
        <f t="shared" si="25"/>
        <v>260</v>
      </c>
    </row>
    <row r="93" spans="1:8" ht="27.75" customHeight="1">
      <c r="A93" s="53"/>
      <c r="B93" s="21" t="s">
        <v>155</v>
      </c>
      <c r="C93" s="45"/>
      <c r="D93" s="18">
        <v>13.6</v>
      </c>
      <c r="E93" s="18">
        <v>3</v>
      </c>
      <c r="F93" s="18"/>
      <c r="G93" s="43">
        <f t="shared" si="24"/>
        <v>-3</v>
      </c>
      <c r="H93" s="43">
        <f t="shared" si="25"/>
        <v>0</v>
      </c>
    </row>
    <row r="94" spans="1:8" ht="27.75" customHeight="1">
      <c r="A94" s="53"/>
      <c r="B94" s="21" t="s">
        <v>179</v>
      </c>
      <c r="C94" s="45"/>
      <c r="D94" s="18">
        <v>5.6</v>
      </c>
      <c r="E94" s="18"/>
      <c r="F94" s="18"/>
      <c r="G94" s="43">
        <f t="shared" si="24"/>
        <v>0</v>
      </c>
      <c r="H94" s="184" t="e">
        <f t="shared" si="25"/>
        <v>#DIV/0!</v>
      </c>
    </row>
    <row r="95" spans="1:8" ht="27.75" customHeight="1">
      <c r="A95" s="53"/>
      <c r="B95" s="17" t="s">
        <v>164</v>
      </c>
      <c r="C95" s="45"/>
      <c r="D95" s="18">
        <v>6.2</v>
      </c>
      <c r="E95" s="18">
        <v>14</v>
      </c>
      <c r="F95" s="18">
        <f>2.1+23.4</f>
        <v>25.5</v>
      </c>
      <c r="G95" s="43">
        <f t="shared" si="24"/>
        <v>11.5</v>
      </c>
      <c r="H95" s="43">
        <f t="shared" si="25"/>
        <v>182.14285714285714</v>
      </c>
    </row>
    <row r="96" spans="1:8" ht="27.75" customHeight="1">
      <c r="A96" s="53"/>
      <c r="B96" s="21" t="s">
        <v>229</v>
      </c>
      <c r="C96" s="45"/>
      <c r="D96" s="18">
        <v>2.2999999999999998</v>
      </c>
      <c r="E96" s="18"/>
      <c r="F96" s="18"/>
      <c r="G96" s="43">
        <f t="shared" si="24"/>
        <v>0</v>
      </c>
      <c r="H96" s="184" t="e">
        <f t="shared" si="25"/>
        <v>#DIV/0!</v>
      </c>
    </row>
    <row r="97" spans="1:15" ht="27.75" customHeight="1">
      <c r="A97" s="53"/>
      <c r="B97" s="21" t="s">
        <v>283</v>
      </c>
      <c r="C97" s="45"/>
      <c r="D97" s="18"/>
      <c r="E97" s="18"/>
      <c r="F97" s="18">
        <v>39.799999999999997</v>
      </c>
      <c r="G97" s="43">
        <f t="shared" si="24"/>
        <v>39.799999999999997</v>
      </c>
      <c r="H97" s="184" t="e">
        <f t="shared" si="25"/>
        <v>#DIV/0!</v>
      </c>
    </row>
    <row r="98" spans="1:15" ht="27.75" customHeight="1">
      <c r="A98" s="53"/>
      <c r="B98" s="21" t="s">
        <v>249</v>
      </c>
      <c r="C98" s="45"/>
      <c r="D98" s="18"/>
      <c r="E98" s="18"/>
      <c r="F98" s="18">
        <v>3.6</v>
      </c>
      <c r="G98" s="43">
        <f t="shared" si="24"/>
        <v>3.6</v>
      </c>
      <c r="H98" s="184" t="e">
        <f t="shared" si="25"/>
        <v>#DIV/0!</v>
      </c>
    </row>
    <row r="99" spans="1:15" ht="27.75" customHeight="1">
      <c r="A99" s="53"/>
      <c r="B99" s="21" t="s">
        <v>208</v>
      </c>
      <c r="C99" s="45"/>
      <c r="D99" s="18"/>
      <c r="E99" s="18"/>
      <c r="F99" s="18">
        <v>1.1000000000000001</v>
      </c>
      <c r="G99" s="43">
        <f t="shared" si="24"/>
        <v>1.1000000000000001</v>
      </c>
      <c r="H99" s="184" t="e">
        <f t="shared" si="25"/>
        <v>#DIV/0!</v>
      </c>
    </row>
    <row r="100" spans="1:15" ht="27.75" customHeight="1">
      <c r="A100" s="53"/>
      <c r="B100" s="21" t="s">
        <v>227</v>
      </c>
      <c r="C100" s="45"/>
      <c r="D100" s="18">
        <v>1.1000000000000001</v>
      </c>
      <c r="E100" s="18">
        <v>1.2</v>
      </c>
      <c r="F100" s="18">
        <v>2</v>
      </c>
      <c r="G100" s="43">
        <f t="shared" si="24"/>
        <v>0.8</v>
      </c>
      <c r="H100" s="43">
        <f t="shared" si="25"/>
        <v>166.66666666666669</v>
      </c>
    </row>
    <row r="101" spans="1:15" ht="27.75" customHeight="1">
      <c r="A101" s="53" t="s">
        <v>437</v>
      </c>
      <c r="B101" s="65" t="s">
        <v>93</v>
      </c>
      <c r="C101" s="63">
        <v>1030</v>
      </c>
      <c r="D101" s="42">
        <f>D102</f>
        <v>0.6</v>
      </c>
      <c r="E101" s="42">
        <f>E102</f>
        <v>77.2</v>
      </c>
      <c r="F101" s="42">
        <f>F102</f>
        <v>0</v>
      </c>
      <c r="G101" s="43">
        <f t="shared" si="24"/>
        <v>-77.2</v>
      </c>
      <c r="H101" s="43">
        <f t="shared" si="25"/>
        <v>0</v>
      </c>
    </row>
    <row r="102" spans="1:15" ht="27.75" customHeight="1">
      <c r="A102" s="39" t="s">
        <v>438</v>
      </c>
      <c r="B102" s="80" t="s">
        <v>93</v>
      </c>
      <c r="C102" s="47">
        <v>1035</v>
      </c>
      <c r="D102" s="42">
        <f>SUM(D103:D104)</f>
        <v>0.6</v>
      </c>
      <c r="E102" s="42">
        <f>SUM(E104:E104)</f>
        <v>77.2</v>
      </c>
      <c r="F102" s="42">
        <f>SUM(F103:F104)</f>
        <v>0</v>
      </c>
      <c r="G102" s="43">
        <f t="shared" si="24"/>
        <v>-77.2</v>
      </c>
      <c r="H102" s="43">
        <f t="shared" si="25"/>
        <v>0</v>
      </c>
    </row>
    <row r="103" spans="1:15" ht="27.75" customHeight="1">
      <c r="A103" s="49"/>
      <c r="B103" s="117" t="s">
        <v>242</v>
      </c>
      <c r="C103" s="16"/>
      <c r="D103" s="18">
        <v>0.6</v>
      </c>
      <c r="E103" s="18"/>
      <c r="F103" s="18"/>
      <c r="G103" s="15">
        <f t="shared" si="24"/>
        <v>0</v>
      </c>
      <c r="H103" s="56" t="e">
        <f t="shared" si="25"/>
        <v>#DIV/0!</v>
      </c>
      <c r="K103" s="2"/>
    </row>
    <row r="104" spans="1:15" ht="27.75" customHeight="1">
      <c r="A104" s="53"/>
      <c r="B104" s="67" t="s">
        <v>174</v>
      </c>
      <c r="C104" s="45"/>
      <c r="D104" s="42"/>
      <c r="E104" s="18">
        <v>77.2</v>
      </c>
      <c r="F104" s="18"/>
      <c r="G104" s="43">
        <f t="shared" si="24"/>
        <v>-77.2</v>
      </c>
      <c r="H104" s="43">
        <f t="shared" si="25"/>
        <v>0</v>
      </c>
    </row>
    <row r="105" spans="1:15" s="5" customFormat="1" ht="27.75" customHeight="1">
      <c r="A105" s="53" t="s">
        <v>104</v>
      </c>
      <c r="B105" s="57" t="s">
        <v>439</v>
      </c>
      <c r="C105" s="63"/>
      <c r="D105" s="42"/>
      <c r="E105" s="14"/>
      <c r="F105" s="14">
        <f>F107</f>
        <v>34.299999999999997</v>
      </c>
      <c r="G105" s="43">
        <f t="shared" ref="G105:G141" si="26">F105-E105</f>
        <v>34.299999999999997</v>
      </c>
      <c r="H105" s="184" t="e">
        <f t="shared" ref="H105:H141" si="27">(F105/E105)*100</f>
        <v>#DIV/0!</v>
      </c>
      <c r="J105" s="90"/>
      <c r="N105" s="83"/>
      <c r="O105" s="83"/>
    </row>
    <row r="106" spans="1:15" ht="27.75" customHeight="1">
      <c r="A106" s="53"/>
      <c r="B106" s="67" t="s">
        <v>86</v>
      </c>
      <c r="C106" s="45"/>
      <c r="D106" s="42"/>
      <c r="E106" s="18"/>
      <c r="F106" s="18"/>
      <c r="G106" s="43"/>
      <c r="H106" s="43"/>
    </row>
    <row r="107" spans="1:15" s="5" customFormat="1" ht="27.75" customHeight="1">
      <c r="A107" s="53" t="s">
        <v>223</v>
      </c>
      <c r="B107" s="57" t="s">
        <v>90</v>
      </c>
      <c r="C107" s="55">
        <v>1010</v>
      </c>
      <c r="D107" s="42"/>
      <c r="E107" s="14"/>
      <c r="F107" s="14">
        <f>F108</f>
        <v>34.299999999999997</v>
      </c>
      <c r="G107" s="43">
        <f t="shared" si="26"/>
        <v>34.299999999999997</v>
      </c>
      <c r="H107" s="184" t="e">
        <f t="shared" si="27"/>
        <v>#DIV/0!</v>
      </c>
      <c r="J107" s="90"/>
      <c r="N107" s="83"/>
      <c r="O107" s="83"/>
    </row>
    <row r="108" spans="1:15" s="87" customFormat="1" ht="27.75" customHeight="1">
      <c r="A108" s="39" t="s">
        <v>285</v>
      </c>
      <c r="B108" s="40" t="s">
        <v>105</v>
      </c>
      <c r="C108" s="47">
        <v>1011</v>
      </c>
      <c r="D108" s="42"/>
      <c r="E108" s="42"/>
      <c r="F108" s="42">
        <f>F109</f>
        <v>34.299999999999997</v>
      </c>
      <c r="G108" s="43">
        <f t="shared" si="26"/>
        <v>34.299999999999997</v>
      </c>
      <c r="H108" s="184" t="e">
        <f t="shared" si="27"/>
        <v>#DIV/0!</v>
      </c>
      <c r="J108" s="91"/>
      <c r="N108" s="89"/>
      <c r="O108" s="89"/>
    </row>
    <row r="109" spans="1:15" ht="47.25" customHeight="1">
      <c r="A109" s="39"/>
      <c r="B109" s="17" t="s">
        <v>158</v>
      </c>
      <c r="C109" s="47"/>
      <c r="D109" s="42"/>
      <c r="E109" s="18"/>
      <c r="F109" s="18">
        <v>34.299999999999997</v>
      </c>
      <c r="G109" s="43">
        <f t="shared" si="26"/>
        <v>34.299999999999997</v>
      </c>
      <c r="H109" s="184" t="e">
        <f t="shared" si="27"/>
        <v>#DIV/0!</v>
      </c>
    </row>
    <row r="110" spans="1:15" ht="32.25" customHeight="1">
      <c r="A110" s="53" t="s">
        <v>440</v>
      </c>
      <c r="B110" s="57" t="s">
        <v>206</v>
      </c>
      <c r="C110" s="63"/>
      <c r="D110" s="14">
        <f>D112+D124</f>
        <v>7378</v>
      </c>
      <c r="E110" s="14">
        <f>E112+E124</f>
        <v>8657.4</v>
      </c>
      <c r="F110" s="14">
        <f>F112+F124</f>
        <v>8626.9</v>
      </c>
      <c r="G110" s="19">
        <f t="shared" si="26"/>
        <v>-30.5</v>
      </c>
      <c r="H110" s="19">
        <f t="shared" si="27"/>
        <v>99.647700233326404</v>
      </c>
      <c r="I110" s="20">
        <f>F110-'Розшифровка 1 до Формування'!F11</f>
        <v>0</v>
      </c>
      <c r="J110" s="28"/>
    </row>
    <row r="111" spans="1:15" ht="27" customHeight="1">
      <c r="A111" s="53"/>
      <c r="B111" s="66" t="s">
        <v>86</v>
      </c>
      <c r="C111" s="45"/>
      <c r="D111" s="18"/>
      <c r="E111" s="18"/>
      <c r="F111" s="18"/>
      <c r="G111" s="19"/>
      <c r="H111" s="19"/>
      <c r="I111" s="20"/>
      <c r="K111" s="28"/>
    </row>
    <row r="112" spans="1:15" s="5" customFormat="1" ht="24.75" customHeight="1">
      <c r="A112" s="53" t="s">
        <v>441</v>
      </c>
      <c r="B112" s="57" t="s">
        <v>90</v>
      </c>
      <c r="C112" s="63">
        <v>1010</v>
      </c>
      <c r="D112" s="14">
        <f>D113+D117</f>
        <v>7192.3</v>
      </c>
      <c r="E112" s="14">
        <f>E113+E117</f>
        <v>8533.5</v>
      </c>
      <c r="F112" s="14">
        <f>F113+F117</f>
        <v>8397.5</v>
      </c>
      <c r="G112" s="19">
        <f t="shared" si="26"/>
        <v>-136</v>
      </c>
      <c r="H112" s="19">
        <f t="shared" si="27"/>
        <v>98.406281127321733</v>
      </c>
      <c r="I112" s="88"/>
      <c r="J112" s="90"/>
      <c r="N112" s="83"/>
      <c r="O112" s="83"/>
    </row>
    <row r="113" spans="1:16" s="5" customFormat="1" ht="24.75" customHeight="1">
      <c r="A113" s="39" t="s">
        <v>442</v>
      </c>
      <c r="B113" s="59" t="s">
        <v>105</v>
      </c>
      <c r="C113" s="41">
        <v>1011</v>
      </c>
      <c r="D113" s="42">
        <f>SUM(D114:D116)</f>
        <v>3483</v>
      </c>
      <c r="E113" s="42">
        <f>SUM(E114:E116)</f>
        <v>3025</v>
      </c>
      <c r="F113" s="42">
        <f>SUM(F114:F116)</f>
        <v>2880.3</v>
      </c>
      <c r="G113" s="43">
        <f t="shared" si="26"/>
        <v>-144.69999999999982</v>
      </c>
      <c r="H113" s="43">
        <f t="shared" si="27"/>
        <v>95.216528925619841</v>
      </c>
      <c r="J113" s="90"/>
      <c r="N113" s="83"/>
      <c r="O113" s="83"/>
    </row>
    <row r="114" spans="1:16" ht="24.75" customHeight="1">
      <c r="A114" s="49"/>
      <c r="B114" s="17" t="s">
        <v>176</v>
      </c>
      <c r="C114" s="45"/>
      <c r="D114" s="18">
        <v>2638.2</v>
      </c>
      <c r="E114" s="18">
        <v>2750</v>
      </c>
      <c r="F114" s="18">
        <f>2941.5-548</f>
        <v>2393.5</v>
      </c>
      <c r="G114" s="15">
        <f t="shared" si="26"/>
        <v>-356.5</v>
      </c>
      <c r="H114" s="15">
        <f t="shared" si="27"/>
        <v>87.036363636363632</v>
      </c>
      <c r="I114" s="54"/>
    </row>
    <row r="115" spans="1:16" ht="24.75" customHeight="1">
      <c r="A115" s="49"/>
      <c r="B115" s="17" t="s">
        <v>224</v>
      </c>
      <c r="C115" s="45"/>
      <c r="D115" s="18">
        <v>58.4</v>
      </c>
      <c r="E115" s="18">
        <v>65</v>
      </c>
      <c r="F115" s="18">
        <v>44</v>
      </c>
      <c r="G115" s="15">
        <f t="shared" si="26"/>
        <v>-21</v>
      </c>
      <c r="H115" s="15">
        <f t="shared" si="27"/>
        <v>67.692307692307693</v>
      </c>
      <c r="I115" s="54"/>
    </row>
    <row r="116" spans="1:16" ht="24.75" customHeight="1">
      <c r="A116" s="49"/>
      <c r="B116" s="17" t="s">
        <v>177</v>
      </c>
      <c r="C116" s="45"/>
      <c r="D116" s="18">
        <v>786.4</v>
      </c>
      <c r="E116" s="18">
        <v>210</v>
      </c>
      <c r="F116" s="18">
        <v>442.8</v>
      </c>
      <c r="G116" s="15">
        <f t="shared" si="26"/>
        <v>232.8</v>
      </c>
      <c r="H116" s="15">
        <f t="shared" si="27"/>
        <v>210.85714285714286</v>
      </c>
    </row>
    <row r="117" spans="1:16" s="5" customFormat="1" ht="24.75" customHeight="1">
      <c r="A117" s="39" t="s">
        <v>443</v>
      </c>
      <c r="B117" s="69" t="s">
        <v>97</v>
      </c>
      <c r="C117" s="70">
        <v>1015</v>
      </c>
      <c r="D117" s="42">
        <f>SUM(D119:D123)</f>
        <v>3709.3</v>
      </c>
      <c r="E117" s="42">
        <f>SUM(E119:E123)</f>
        <v>5508.4999999999991</v>
      </c>
      <c r="F117" s="42">
        <f>SUM(F118:F123)</f>
        <v>5517.2000000000007</v>
      </c>
      <c r="G117" s="43">
        <f t="shared" si="26"/>
        <v>8.7000000000016371</v>
      </c>
      <c r="H117" s="43">
        <f t="shared" si="27"/>
        <v>100.15793773259512</v>
      </c>
      <c r="J117" s="90"/>
      <c r="N117" s="83"/>
      <c r="O117" s="83"/>
    </row>
    <row r="118" spans="1:16" s="5" customFormat="1" ht="24.75" customHeight="1">
      <c r="A118" s="39"/>
      <c r="B118" s="23" t="s">
        <v>147</v>
      </c>
      <c r="C118" s="70"/>
      <c r="D118" s="42"/>
      <c r="E118" s="42"/>
      <c r="F118" s="18">
        <v>209.8</v>
      </c>
      <c r="G118" s="15">
        <f t="shared" ref="G118" si="28">F118-E118</f>
        <v>209.8</v>
      </c>
      <c r="H118" s="56" t="e">
        <f t="shared" ref="H118" si="29">(F118/E118)*100</f>
        <v>#DIV/0!</v>
      </c>
      <c r="J118" s="90"/>
      <c r="N118" s="83"/>
      <c r="O118" s="83"/>
    </row>
    <row r="119" spans="1:16" ht="24.75" customHeight="1">
      <c r="A119" s="53"/>
      <c r="B119" s="23" t="s">
        <v>166</v>
      </c>
      <c r="C119" s="23"/>
      <c r="D119" s="18">
        <v>2811.1</v>
      </c>
      <c r="E119" s="18">
        <v>4297.5</v>
      </c>
      <c r="F119" s="18">
        <v>3576.3</v>
      </c>
      <c r="G119" s="15">
        <f t="shared" si="26"/>
        <v>-721.19999999999982</v>
      </c>
      <c r="H119" s="15">
        <f t="shared" si="27"/>
        <v>83.218150087260028</v>
      </c>
    </row>
    <row r="120" spans="1:16" ht="24.75" customHeight="1">
      <c r="A120" s="53"/>
      <c r="B120" s="23" t="s">
        <v>167</v>
      </c>
      <c r="C120" s="23"/>
      <c r="D120" s="18">
        <v>174.3</v>
      </c>
      <c r="E120" s="18">
        <v>228.4</v>
      </c>
      <c r="F120" s="18">
        <v>283.3</v>
      </c>
      <c r="G120" s="15">
        <f t="shared" si="26"/>
        <v>54.900000000000006</v>
      </c>
      <c r="H120" s="15">
        <f t="shared" si="27"/>
        <v>124.03677758318739</v>
      </c>
    </row>
    <row r="121" spans="1:16" ht="24.75" customHeight="1">
      <c r="A121" s="53"/>
      <c r="B121" s="23" t="s">
        <v>179</v>
      </c>
      <c r="C121" s="23"/>
      <c r="D121" s="18">
        <v>626.5</v>
      </c>
      <c r="E121" s="18">
        <v>879</v>
      </c>
      <c r="F121" s="18">
        <v>1310.9</v>
      </c>
      <c r="G121" s="15">
        <f t="shared" si="26"/>
        <v>431.90000000000009</v>
      </c>
      <c r="H121" s="15">
        <f t="shared" si="27"/>
        <v>149.13538111490331</v>
      </c>
    </row>
    <row r="122" spans="1:16" ht="24.75" customHeight="1">
      <c r="A122" s="53"/>
      <c r="B122" s="23" t="s">
        <v>255</v>
      </c>
      <c r="C122" s="23"/>
      <c r="D122" s="18"/>
      <c r="E122" s="18">
        <v>6.9</v>
      </c>
      <c r="F122" s="18"/>
      <c r="G122" s="15">
        <f t="shared" si="26"/>
        <v>-6.9</v>
      </c>
      <c r="H122" s="15">
        <f t="shared" si="27"/>
        <v>0</v>
      </c>
      <c r="K122" s="28"/>
    </row>
    <row r="123" spans="1:16" ht="24.75" customHeight="1">
      <c r="A123" s="53"/>
      <c r="B123" s="23" t="s">
        <v>169</v>
      </c>
      <c r="C123" s="23"/>
      <c r="D123" s="18">
        <v>97.4</v>
      </c>
      <c r="E123" s="18">
        <v>96.7</v>
      </c>
      <c r="F123" s="18">
        <v>136.9</v>
      </c>
      <c r="G123" s="15">
        <f t="shared" si="26"/>
        <v>40.200000000000003</v>
      </c>
      <c r="H123" s="15">
        <f t="shared" si="27"/>
        <v>141.57187176835575</v>
      </c>
    </row>
    <row r="124" spans="1:16" ht="24.75" customHeight="1">
      <c r="A124" s="53" t="s">
        <v>444</v>
      </c>
      <c r="B124" s="62" t="s">
        <v>92</v>
      </c>
      <c r="C124" s="63">
        <v>1020</v>
      </c>
      <c r="D124" s="14">
        <f>D125+D127</f>
        <v>185.70000000000002</v>
      </c>
      <c r="E124" s="14">
        <f>E127</f>
        <v>123.9</v>
      </c>
      <c r="F124" s="14">
        <f>F127</f>
        <v>229.39999999999998</v>
      </c>
      <c r="G124" s="19">
        <f t="shared" si="26"/>
        <v>105.49999999999997</v>
      </c>
      <c r="H124" s="19">
        <f t="shared" si="27"/>
        <v>185.14931396287326</v>
      </c>
      <c r="I124" s="85"/>
      <c r="K124" s="28"/>
    </row>
    <row r="125" spans="1:16" ht="24.75" customHeight="1">
      <c r="A125" s="53"/>
      <c r="B125" s="21" t="s">
        <v>105</v>
      </c>
      <c r="C125" s="63">
        <v>1021</v>
      </c>
      <c r="D125" s="14">
        <f>D126</f>
        <v>4.8</v>
      </c>
      <c r="E125" s="14">
        <f t="shared" ref="E125:F125" si="30">E126</f>
        <v>0</v>
      </c>
      <c r="F125" s="14">
        <f t="shared" si="30"/>
        <v>0</v>
      </c>
      <c r="G125" s="19">
        <f t="shared" si="26"/>
        <v>0</v>
      </c>
      <c r="H125" s="183" t="e">
        <f t="shared" si="27"/>
        <v>#DIV/0!</v>
      </c>
      <c r="I125" s="85"/>
      <c r="K125" s="28"/>
    </row>
    <row r="126" spans="1:16" ht="24.75" customHeight="1">
      <c r="A126" s="53"/>
      <c r="B126" s="21" t="s">
        <v>224</v>
      </c>
      <c r="C126" s="63"/>
      <c r="D126" s="18">
        <v>4.8</v>
      </c>
      <c r="E126" s="14"/>
      <c r="F126" s="14"/>
      <c r="G126" s="19">
        <f t="shared" si="26"/>
        <v>0</v>
      </c>
      <c r="H126" s="183" t="e">
        <f t="shared" si="27"/>
        <v>#DIV/0!</v>
      </c>
      <c r="I126" s="85"/>
      <c r="K126" s="28"/>
    </row>
    <row r="127" spans="1:16" ht="24.75" customHeight="1">
      <c r="A127" s="39" t="s">
        <v>445</v>
      </c>
      <c r="B127" s="59" t="s">
        <v>171</v>
      </c>
      <c r="C127" s="41">
        <v>1025</v>
      </c>
      <c r="D127" s="42">
        <f>SUM(D128:D131)</f>
        <v>180.9</v>
      </c>
      <c r="E127" s="42">
        <f>SUM(E128:E131)</f>
        <v>123.9</v>
      </c>
      <c r="F127" s="42">
        <f>SUM(F128:F131)</f>
        <v>229.39999999999998</v>
      </c>
      <c r="G127" s="43">
        <f t="shared" si="26"/>
        <v>105.49999999999997</v>
      </c>
      <c r="H127" s="43">
        <f t="shared" si="27"/>
        <v>185.14931396287326</v>
      </c>
      <c r="P127" s="2" t="s">
        <v>302</v>
      </c>
    </row>
    <row r="128" spans="1:16" ht="24.75" customHeight="1">
      <c r="A128" s="76"/>
      <c r="B128" s="26" t="s">
        <v>166</v>
      </c>
      <c r="C128" s="45"/>
      <c r="D128" s="18">
        <v>101</v>
      </c>
      <c r="E128" s="18">
        <v>96.7</v>
      </c>
      <c r="F128" s="18">
        <v>193.6</v>
      </c>
      <c r="G128" s="15">
        <f t="shared" si="26"/>
        <v>96.899999999999991</v>
      </c>
      <c r="H128" s="15">
        <f t="shared" si="27"/>
        <v>200.2068252326784</v>
      </c>
    </row>
    <row r="129" spans="1:9" ht="24.75" customHeight="1">
      <c r="A129" s="76"/>
      <c r="B129" s="26" t="s">
        <v>167</v>
      </c>
      <c r="C129" s="45"/>
      <c r="D129" s="18">
        <v>3.3</v>
      </c>
      <c r="E129" s="18">
        <v>5.2</v>
      </c>
      <c r="F129" s="18">
        <v>3.6</v>
      </c>
      <c r="G129" s="15">
        <f t="shared" si="26"/>
        <v>-1.6</v>
      </c>
      <c r="H129" s="15">
        <f t="shared" si="27"/>
        <v>69.230769230769226</v>
      </c>
    </row>
    <row r="130" spans="1:9" ht="24.75" customHeight="1">
      <c r="A130" s="76"/>
      <c r="B130" s="26" t="s">
        <v>168</v>
      </c>
      <c r="C130" s="45"/>
      <c r="D130" s="18">
        <v>74.7</v>
      </c>
      <c r="E130" s="18">
        <v>19.8</v>
      </c>
      <c r="F130" s="18">
        <v>30.5</v>
      </c>
      <c r="G130" s="15">
        <f t="shared" si="26"/>
        <v>10.7</v>
      </c>
      <c r="H130" s="15">
        <f t="shared" si="27"/>
        <v>154.04040404040404</v>
      </c>
    </row>
    <row r="131" spans="1:9" ht="24.75" customHeight="1">
      <c r="A131" s="76"/>
      <c r="B131" s="26" t="s">
        <v>180</v>
      </c>
      <c r="C131" s="45"/>
      <c r="D131" s="18">
        <v>1.9</v>
      </c>
      <c r="E131" s="18">
        <v>2.2000000000000002</v>
      </c>
      <c r="F131" s="18">
        <v>1.7</v>
      </c>
      <c r="G131" s="15">
        <f t="shared" si="26"/>
        <v>-0.50000000000000022</v>
      </c>
      <c r="H131" s="15">
        <f t="shared" si="27"/>
        <v>77.272727272727266</v>
      </c>
    </row>
    <row r="132" spans="1:9" ht="32.25" customHeight="1">
      <c r="A132" s="38" t="s">
        <v>287</v>
      </c>
      <c r="B132" s="77" t="s">
        <v>212</v>
      </c>
      <c r="C132" s="63"/>
      <c r="D132" s="14">
        <f>D134</f>
        <v>1537.1</v>
      </c>
      <c r="E132" s="14">
        <f>E134</f>
        <v>0</v>
      </c>
      <c r="F132" s="14">
        <f>F134</f>
        <v>548</v>
      </c>
      <c r="G132" s="19">
        <f t="shared" si="26"/>
        <v>548</v>
      </c>
      <c r="H132" s="183" t="e">
        <f t="shared" si="27"/>
        <v>#DIV/0!</v>
      </c>
    </row>
    <row r="133" spans="1:9" ht="24.75" customHeight="1">
      <c r="A133" s="76"/>
      <c r="B133" s="78" t="s">
        <v>86</v>
      </c>
      <c r="C133" s="45"/>
      <c r="D133" s="18"/>
      <c r="E133" s="18"/>
      <c r="F133" s="18"/>
      <c r="G133" s="15">
        <f t="shared" si="26"/>
        <v>0</v>
      </c>
      <c r="H133" s="56" t="e">
        <f t="shared" si="27"/>
        <v>#DIV/0!</v>
      </c>
    </row>
    <row r="134" spans="1:9" ht="27.75" customHeight="1">
      <c r="A134" s="38" t="s">
        <v>286</v>
      </c>
      <c r="B134" s="77" t="s">
        <v>90</v>
      </c>
      <c r="C134" s="63">
        <v>1010</v>
      </c>
      <c r="D134" s="14">
        <f>D135</f>
        <v>1537.1</v>
      </c>
      <c r="E134" s="14"/>
      <c r="F134" s="14">
        <f>F135</f>
        <v>548</v>
      </c>
      <c r="G134" s="19">
        <f t="shared" si="26"/>
        <v>548</v>
      </c>
      <c r="H134" s="183" t="e">
        <f t="shared" si="27"/>
        <v>#DIV/0!</v>
      </c>
      <c r="I134" s="20"/>
    </row>
    <row r="135" spans="1:9" ht="27" customHeight="1">
      <c r="A135" s="73" t="s">
        <v>288</v>
      </c>
      <c r="B135" s="71" t="s">
        <v>105</v>
      </c>
      <c r="C135" s="41">
        <v>1011</v>
      </c>
      <c r="D135" s="42">
        <f>SUM(D136:D141)</f>
        <v>1537.1</v>
      </c>
      <c r="E135" s="42"/>
      <c r="F135" s="42">
        <f>SUM(F136:F141)</f>
        <v>548</v>
      </c>
      <c r="G135" s="43">
        <f t="shared" si="26"/>
        <v>548</v>
      </c>
      <c r="H135" s="184" t="e">
        <f t="shared" si="27"/>
        <v>#DIV/0!</v>
      </c>
    </row>
    <row r="136" spans="1:9" ht="27" customHeight="1">
      <c r="A136" s="73"/>
      <c r="B136" s="26" t="s">
        <v>240</v>
      </c>
      <c r="C136" s="41"/>
      <c r="D136" s="18">
        <v>183</v>
      </c>
      <c r="E136" s="42"/>
      <c r="F136" s="18"/>
      <c r="G136" s="43">
        <f t="shared" si="26"/>
        <v>0</v>
      </c>
      <c r="H136" s="184" t="e">
        <f t="shared" si="27"/>
        <v>#DIV/0!</v>
      </c>
    </row>
    <row r="137" spans="1:9" ht="27" customHeight="1">
      <c r="A137" s="73"/>
      <c r="B137" s="21" t="s">
        <v>172</v>
      </c>
      <c r="C137" s="41"/>
      <c r="D137" s="18">
        <v>12.2</v>
      </c>
      <c r="E137" s="42"/>
      <c r="F137" s="18"/>
      <c r="G137" s="43">
        <f t="shared" si="26"/>
        <v>0</v>
      </c>
      <c r="H137" s="184" t="e">
        <f t="shared" si="27"/>
        <v>#DIV/0!</v>
      </c>
    </row>
    <row r="138" spans="1:9" ht="27" customHeight="1">
      <c r="A138" s="73"/>
      <c r="B138" s="21" t="s">
        <v>202</v>
      </c>
      <c r="C138" s="41"/>
      <c r="D138" s="18">
        <v>124.6</v>
      </c>
      <c r="E138" s="42"/>
      <c r="F138" s="18"/>
      <c r="G138" s="43">
        <f t="shared" si="26"/>
        <v>0</v>
      </c>
      <c r="H138" s="184" t="e">
        <f t="shared" si="27"/>
        <v>#DIV/0!</v>
      </c>
    </row>
    <row r="139" spans="1:9" ht="27" customHeight="1">
      <c r="A139" s="73"/>
      <c r="B139" s="21" t="s">
        <v>178</v>
      </c>
      <c r="C139" s="41"/>
      <c r="D139" s="18">
        <v>152.9</v>
      </c>
      <c r="E139" s="42"/>
      <c r="F139" s="18"/>
      <c r="G139" s="43">
        <f t="shared" si="26"/>
        <v>0</v>
      </c>
      <c r="H139" s="184" t="e">
        <f t="shared" si="27"/>
        <v>#DIV/0!</v>
      </c>
    </row>
    <row r="140" spans="1:9" ht="36" customHeight="1">
      <c r="A140" s="73"/>
      <c r="B140" s="17" t="s">
        <v>175</v>
      </c>
      <c r="C140" s="41"/>
      <c r="D140" s="18">
        <v>811.9</v>
      </c>
      <c r="E140" s="42"/>
      <c r="F140" s="18"/>
      <c r="G140" s="43">
        <f t="shared" si="26"/>
        <v>0</v>
      </c>
      <c r="H140" s="184" t="e">
        <f t="shared" si="27"/>
        <v>#DIV/0!</v>
      </c>
    </row>
    <row r="141" spans="1:9" ht="29.25" customHeight="1">
      <c r="A141" s="76"/>
      <c r="B141" s="17" t="s">
        <v>176</v>
      </c>
      <c r="C141" s="45"/>
      <c r="D141" s="18">
        <v>252.5</v>
      </c>
      <c r="E141" s="18"/>
      <c r="F141" s="18">
        <v>548</v>
      </c>
      <c r="G141" s="15">
        <f t="shared" si="26"/>
        <v>548</v>
      </c>
      <c r="H141" s="56" t="e">
        <f t="shared" si="27"/>
        <v>#DIV/0!</v>
      </c>
    </row>
    <row r="142" spans="1:9" ht="36" customHeight="1">
      <c r="A142" s="38" t="s">
        <v>289</v>
      </c>
      <c r="B142" s="57" t="s">
        <v>182</v>
      </c>
      <c r="C142" s="55"/>
      <c r="D142" s="14">
        <f>D144</f>
        <v>48.3</v>
      </c>
      <c r="E142" s="14">
        <f>E144</f>
        <v>48</v>
      </c>
      <c r="F142" s="14">
        <f>F144</f>
        <v>51.6</v>
      </c>
      <c r="G142" s="19">
        <f t="shared" ref="G142:G148" si="31">F142-E142</f>
        <v>3.6000000000000014</v>
      </c>
      <c r="H142" s="19">
        <f t="shared" ref="H142:H148" si="32">(F142/E142)*100</f>
        <v>107.5</v>
      </c>
      <c r="I142" s="20"/>
    </row>
    <row r="143" spans="1:9" ht="24.75" customHeight="1">
      <c r="A143" s="76"/>
      <c r="B143" s="37" t="s">
        <v>86</v>
      </c>
      <c r="C143" s="79"/>
      <c r="D143" s="18"/>
      <c r="E143" s="18"/>
      <c r="F143" s="18"/>
      <c r="G143" s="19"/>
      <c r="H143" s="19"/>
    </row>
    <row r="144" spans="1:9" ht="24.75" customHeight="1">
      <c r="A144" s="38" t="s">
        <v>290</v>
      </c>
      <c r="B144" s="65" t="s">
        <v>12</v>
      </c>
      <c r="C144" s="63">
        <v>1030</v>
      </c>
      <c r="D144" s="14">
        <f>D145</f>
        <v>48.3</v>
      </c>
      <c r="E144" s="14">
        <f>E145</f>
        <v>48</v>
      </c>
      <c r="F144" s="14">
        <f>F145</f>
        <v>51.6</v>
      </c>
      <c r="G144" s="19">
        <f t="shared" si="31"/>
        <v>3.6000000000000014</v>
      </c>
      <c r="H144" s="19">
        <f t="shared" si="32"/>
        <v>107.5</v>
      </c>
    </row>
    <row r="145" spans="1:12" ht="24.75" customHeight="1">
      <c r="A145" s="73" t="s">
        <v>291</v>
      </c>
      <c r="B145" s="80" t="s">
        <v>93</v>
      </c>
      <c r="C145" s="41">
        <v>1035</v>
      </c>
      <c r="D145" s="42">
        <f>SUM(D146:D148)</f>
        <v>48.3</v>
      </c>
      <c r="E145" s="42">
        <f>SUM(E146:E148)</f>
        <v>48</v>
      </c>
      <c r="F145" s="42">
        <f>SUM(F146:F148)</f>
        <v>51.6</v>
      </c>
      <c r="G145" s="43">
        <f t="shared" si="31"/>
        <v>3.6000000000000014</v>
      </c>
      <c r="H145" s="43">
        <f t="shared" si="32"/>
        <v>107.5</v>
      </c>
    </row>
    <row r="146" spans="1:12" ht="24.75" customHeight="1">
      <c r="A146" s="75"/>
      <c r="B146" s="17" t="s">
        <v>166</v>
      </c>
      <c r="C146" s="45"/>
      <c r="D146" s="18">
        <v>5.7</v>
      </c>
      <c r="E146" s="18">
        <v>4</v>
      </c>
      <c r="F146" s="18">
        <v>2.4</v>
      </c>
      <c r="G146" s="19">
        <f t="shared" si="31"/>
        <v>-1.6</v>
      </c>
      <c r="H146" s="19">
        <f t="shared" si="32"/>
        <v>60</v>
      </c>
    </row>
    <row r="147" spans="1:12" ht="24.75" customHeight="1">
      <c r="A147" s="75"/>
      <c r="B147" s="17" t="s">
        <v>167</v>
      </c>
      <c r="C147" s="45"/>
      <c r="D147" s="18">
        <v>2.1</v>
      </c>
      <c r="E147" s="18">
        <v>2</v>
      </c>
      <c r="F147" s="18">
        <v>7.1</v>
      </c>
      <c r="G147" s="19">
        <f t="shared" si="31"/>
        <v>5.0999999999999996</v>
      </c>
      <c r="H147" s="19">
        <f t="shared" si="32"/>
        <v>355</v>
      </c>
    </row>
    <row r="148" spans="1:12" ht="26.25" customHeight="1">
      <c r="A148" s="38"/>
      <c r="B148" s="17" t="s">
        <v>168</v>
      </c>
      <c r="C148" s="45"/>
      <c r="D148" s="18">
        <v>40.5</v>
      </c>
      <c r="E148" s="18">
        <v>42</v>
      </c>
      <c r="F148" s="18">
        <v>42.1</v>
      </c>
      <c r="G148" s="19">
        <f t="shared" si="31"/>
        <v>0.10000000000000142</v>
      </c>
      <c r="H148" s="19">
        <f t="shared" si="32"/>
        <v>100.23809523809524</v>
      </c>
    </row>
    <row r="149" spans="1:12" ht="33" customHeight="1">
      <c r="A149" s="38" t="s">
        <v>292</v>
      </c>
      <c r="B149" s="62" t="s">
        <v>183</v>
      </c>
      <c r="C149" s="224"/>
      <c r="D149" s="14">
        <f>D151+D157</f>
        <v>95.3</v>
      </c>
      <c r="E149" s="14">
        <f>E151+E157</f>
        <v>347</v>
      </c>
      <c r="F149" s="14">
        <f>F151+F157</f>
        <v>697.30000000000007</v>
      </c>
      <c r="G149" s="19">
        <f t="shared" ref="G149:G187" si="33">F149-E149</f>
        <v>350.30000000000007</v>
      </c>
      <c r="H149" s="19">
        <f t="shared" ref="H149:H187" si="34">(F149/E149)*100</f>
        <v>200.95100864553314</v>
      </c>
      <c r="J149" s="28"/>
      <c r="K149" s="2"/>
      <c r="L149" s="5"/>
    </row>
    <row r="150" spans="1:12" ht="27" customHeight="1">
      <c r="A150" s="38"/>
      <c r="B150" s="37" t="s">
        <v>86</v>
      </c>
      <c r="C150" s="224"/>
      <c r="D150" s="18"/>
      <c r="E150" s="18"/>
      <c r="F150" s="18"/>
      <c r="G150" s="19"/>
      <c r="H150" s="19"/>
      <c r="I150" s="20"/>
    </row>
    <row r="151" spans="1:12" ht="32.25" customHeight="1">
      <c r="A151" s="38" t="s">
        <v>293</v>
      </c>
      <c r="B151" s="57" t="s">
        <v>90</v>
      </c>
      <c r="C151" s="224">
        <v>1010</v>
      </c>
      <c r="D151" s="14">
        <f>D152</f>
        <v>92.6</v>
      </c>
      <c r="E151" s="14">
        <f>E152</f>
        <v>340</v>
      </c>
      <c r="F151" s="14">
        <f>F152</f>
        <v>692.7</v>
      </c>
      <c r="G151" s="19">
        <f t="shared" si="33"/>
        <v>352.70000000000005</v>
      </c>
      <c r="H151" s="19">
        <f t="shared" si="34"/>
        <v>203.73529411764707</v>
      </c>
      <c r="I151" s="20"/>
    </row>
    <row r="152" spans="1:12" ht="28.5" customHeight="1">
      <c r="A152" s="73" t="s">
        <v>294</v>
      </c>
      <c r="B152" s="40" t="s">
        <v>97</v>
      </c>
      <c r="C152" s="70">
        <v>1015</v>
      </c>
      <c r="D152" s="42">
        <f>SUM(D153:D156)</f>
        <v>92.6</v>
      </c>
      <c r="E152" s="42">
        <f>E153+E156</f>
        <v>340</v>
      </c>
      <c r="F152" s="42">
        <f>SUM(F153:F156)</f>
        <v>692.7</v>
      </c>
      <c r="G152" s="43">
        <f t="shared" si="33"/>
        <v>352.70000000000005</v>
      </c>
      <c r="H152" s="43">
        <f t="shared" si="34"/>
        <v>203.73529411764707</v>
      </c>
    </row>
    <row r="153" spans="1:12" ht="24.75" customHeight="1">
      <c r="A153" s="75"/>
      <c r="B153" s="17" t="s">
        <v>184</v>
      </c>
      <c r="C153" s="11"/>
      <c r="D153" s="18">
        <v>13.5</v>
      </c>
      <c r="E153" s="18">
        <v>240</v>
      </c>
      <c r="F153" s="18">
        <f>55.2+90</f>
        <v>145.19999999999999</v>
      </c>
      <c r="G153" s="15">
        <f t="shared" si="33"/>
        <v>-94.800000000000011</v>
      </c>
      <c r="H153" s="15">
        <f t="shared" si="34"/>
        <v>60.5</v>
      </c>
    </row>
    <row r="154" spans="1:12" ht="24.75" customHeight="1">
      <c r="A154" s="75"/>
      <c r="B154" s="17" t="s">
        <v>144</v>
      </c>
      <c r="C154" s="11"/>
      <c r="D154" s="18"/>
      <c r="E154" s="18"/>
      <c r="F154" s="18">
        <f>82.5+220</f>
        <v>302.5</v>
      </c>
      <c r="G154" s="15">
        <f t="shared" ref="G154:G155" si="35">F154-E154</f>
        <v>302.5</v>
      </c>
      <c r="H154" s="56" t="e">
        <f t="shared" ref="H154:H155" si="36">(F154/E154)*100</f>
        <v>#DIV/0!</v>
      </c>
    </row>
    <row r="155" spans="1:12" ht="24.75" customHeight="1">
      <c r="A155" s="75"/>
      <c r="B155" s="17" t="s">
        <v>146</v>
      </c>
      <c r="C155" s="11"/>
      <c r="D155" s="18"/>
      <c r="E155" s="18"/>
      <c r="F155" s="18">
        <f>130+50</f>
        <v>180</v>
      </c>
      <c r="G155" s="15">
        <f t="shared" si="35"/>
        <v>180</v>
      </c>
      <c r="H155" s="56" t="e">
        <f t="shared" si="36"/>
        <v>#DIV/0!</v>
      </c>
    </row>
    <row r="156" spans="1:12" ht="24.75" customHeight="1">
      <c r="A156" s="75"/>
      <c r="B156" s="17" t="s">
        <v>195</v>
      </c>
      <c r="C156" s="11"/>
      <c r="D156" s="18">
        <v>79.099999999999994</v>
      </c>
      <c r="E156" s="18">
        <v>100</v>
      </c>
      <c r="F156" s="18">
        <v>65</v>
      </c>
      <c r="G156" s="15">
        <f>F156-E156</f>
        <v>-35</v>
      </c>
      <c r="H156" s="15">
        <f>(F156/E156)*100</f>
        <v>65</v>
      </c>
    </row>
    <row r="157" spans="1:12" ht="28.5" customHeight="1">
      <c r="A157" s="38" t="s">
        <v>295</v>
      </c>
      <c r="B157" s="225" t="s">
        <v>92</v>
      </c>
      <c r="C157" s="224">
        <v>1020</v>
      </c>
      <c r="D157" s="14">
        <f t="shared" ref="D157:F158" si="37">D158</f>
        <v>2.7</v>
      </c>
      <c r="E157" s="14">
        <f t="shared" si="37"/>
        <v>7</v>
      </c>
      <c r="F157" s="14">
        <f t="shared" si="37"/>
        <v>4.5999999999999996</v>
      </c>
      <c r="G157" s="19">
        <f t="shared" si="33"/>
        <v>-2.4000000000000004</v>
      </c>
      <c r="H157" s="19">
        <f t="shared" si="34"/>
        <v>65.714285714285708</v>
      </c>
    </row>
    <row r="158" spans="1:12" ht="30" customHeight="1">
      <c r="A158" s="73" t="s">
        <v>296</v>
      </c>
      <c r="B158" s="59" t="s">
        <v>171</v>
      </c>
      <c r="C158" s="41">
        <v>1025</v>
      </c>
      <c r="D158" s="42">
        <f t="shared" si="37"/>
        <v>2.7</v>
      </c>
      <c r="E158" s="42">
        <f>E159+E160</f>
        <v>7</v>
      </c>
      <c r="F158" s="42">
        <f>SUM(F159:F160)</f>
        <v>4.5999999999999996</v>
      </c>
      <c r="G158" s="43">
        <f t="shared" si="33"/>
        <v>-2.4000000000000004</v>
      </c>
      <c r="H158" s="43">
        <f t="shared" si="34"/>
        <v>65.714285714285708</v>
      </c>
    </row>
    <row r="159" spans="1:12" ht="24.75" customHeight="1">
      <c r="A159" s="38"/>
      <c r="B159" s="21" t="s">
        <v>185</v>
      </c>
      <c r="C159" s="45"/>
      <c r="D159" s="18">
        <v>2.7</v>
      </c>
      <c r="E159" s="18">
        <v>3</v>
      </c>
      <c r="F159" s="18">
        <v>4.5999999999999996</v>
      </c>
      <c r="G159" s="15">
        <f t="shared" si="33"/>
        <v>1.5999999999999996</v>
      </c>
      <c r="H159" s="15">
        <f t="shared" si="34"/>
        <v>153.33333333333331</v>
      </c>
    </row>
    <row r="160" spans="1:12" ht="24.75" customHeight="1">
      <c r="A160" s="38"/>
      <c r="B160" s="21" t="s">
        <v>253</v>
      </c>
      <c r="C160" s="45"/>
      <c r="D160" s="18"/>
      <c r="E160" s="18">
        <v>4</v>
      </c>
      <c r="F160" s="18"/>
      <c r="G160" s="15">
        <f t="shared" si="33"/>
        <v>-4</v>
      </c>
      <c r="H160" s="15">
        <f t="shared" si="34"/>
        <v>0</v>
      </c>
    </row>
    <row r="161" spans="1:15" ht="30" customHeight="1">
      <c r="A161" s="38" t="s">
        <v>297</v>
      </c>
      <c r="B161" s="62" t="s">
        <v>245</v>
      </c>
      <c r="C161" s="63"/>
      <c r="D161" s="14">
        <f>D163</f>
        <v>0</v>
      </c>
      <c r="E161" s="14"/>
      <c r="F161" s="14">
        <f>F163</f>
        <v>5.9</v>
      </c>
      <c r="G161" s="19">
        <f t="shared" si="33"/>
        <v>5.9</v>
      </c>
      <c r="H161" s="183" t="e">
        <f t="shared" si="34"/>
        <v>#DIV/0!</v>
      </c>
    </row>
    <row r="162" spans="1:15" ht="28.5" customHeight="1">
      <c r="A162" s="38"/>
      <c r="B162" s="21" t="s">
        <v>86</v>
      </c>
      <c r="C162" s="45"/>
      <c r="D162" s="119"/>
      <c r="E162" s="18"/>
      <c r="F162" s="18"/>
      <c r="G162" s="15"/>
      <c r="H162" s="15"/>
    </row>
    <row r="163" spans="1:15" ht="24.75" customHeight="1">
      <c r="A163" s="38" t="s">
        <v>298</v>
      </c>
      <c r="B163" s="62" t="s">
        <v>246</v>
      </c>
      <c r="C163" s="63">
        <v>1030</v>
      </c>
      <c r="D163" s="14">
        <f>D164</f>
        <v>0</v>
      </c>
      <c r="E163" s="14"/>
      <c r="F163" s="14">
        <f>F164</f>
        <v>5.9</v>
      </c>
      <c r="G163" s="19">
        <f t="shared" si="33"/>
        <v>5.9</v>
      </c>
      <c r="H163" s="183" t="e">
        <f t="shared" si="34"/>
        <v>#DIV/0!</v>
      </c>
    </row>
    <row r="164" spans="1:15" ht="24.75" customHeight="1">
      <c r="A164" s="73" t="s">
        <v>299</v>
      </c>
      <c r="B164" s="59" t="s">
        <v>246</v>
      </c>
      <c r="C164" s="41">
        <v>1035</v>
      </c>
      <c r="D164" s="42">
        <f>D165</f>
        <v>0</v>
      </c>
      <c r="E164" s="42"/>
      <c r="F164" s="42">
        <f>F165</f>
        <v>5.9</v>
      </c>
      <c r="G164" s="43">
        <f t="shared" si="33"/>
        <v>5.9</v>
      </c>
      <c r="H164" s="184" t="e">
        <f t="shared" si="34"/>
        <v>#DIV/0!</v>
      </c>
    </row>
    <row r="165" spans="1:15" ht="24.75" customHeight="1">
      <c r="A165" s="38"/>
      <c r="B165" s="21" t="s">
        <v>247</v>
      </c>
      <c r="C165" s="45"/>
      <c r="D165" s="18"/>
      <c r="E165" s="18"/>
      <c r="F165" s="18">
        <v>5.9</v>
      </c>
      <c r="G165" s="15">
        <f t="shared" si="33"/>
        <v>5.9</v>
      </c>
      <c r="H165" s="56" t="e">
        <f t="shared" si="34"/>
        <v>#DIV/0!</v>
      </c>
    </row>
    <row r="166" spans="1:15" ht="30" customHeight="1">
      <c r="A166" s="38" t="s">
        <v>181</v>
      </c>
      <c r="B166" s="225" t="s">
        <v>198</v>
      </c>
      <c r="C166" s="222"/>
      <c r="D166" s="14">
        <f>D168</f>
        <v>3576.7999999999993</v>
      </c>
      <c r="E166" s="14">
        <f>E168</f>
        <v>0</v>
      </c>
      <c r="F166" s="14">
        <f>F168</f>
        <v>2886.2</v>
      </c>
      <c r="G166" s="19">
        <f t="shared" si="33"/>
        <v>2886.2</v>
      </c>
      <c r="H166" s="56" t="e">
        <f t="shared" si="34"/>
        <v>#DIV/0!</v>
      </c>
      <c r="I166" s="20"/>
    </row>
    <row r="167" spans="1:15" ht="30" customHeight="1">
      <c r="A167" s="75"/>
      <c r="B167" s="37" t="s">
        <v>86</v>
      </c>
      <c r="C167" s="11"/>
      <c r="D167" s="18"/>
      <c r="E167" s="18">
        <f>E169</f>
        <v>0</v>
      </c>
      <c r="F167" s="18"/>
      <c r="G167" s="19"/>
      <c r="H167" s="19"/>
    </row>
    <row r="168" spans="1:15" ht="24.75" customHeight="1">
      <c r="A168" s="38" t="s">
        <v>233</v>
      </c>
      <c r="B168" s="225" t="s">
        <v>90</v>
      </c>
      <c r="C168" s="224">
        <v>1010</v>
      </c>
      <c r="D168" s="14">
        <f>D169+D175</f>
        <v>3576.7999999999993</v>
      </c>
      <c r="E168" s="14"/>
      <c r="F168" s="14">
        <f>F169+F175</f>
        <v>2886.2</v>
      </c>
      <c r="G168" s="19">
        <f t="shared" si="33"/>
        <v>2886.2</v>
      </c>
      <c r="H168" s="183" t="e">
        <f t="shared" si="34"/>
        <v>#DIV/0!</v>
      </c>
    </row>
    <row r="169" spans="1:15" s="87" customFormat="1" ht="24.75" customHeight="1">
      <c r="A169" s="73" t="s">
        <v>234</v>
      </c>
      <c r="B169" s="59" t="s">
        <v>105</v>
      </c>
      <c r="C169" s="41">
        <v>1011</v>
      </c>
      <c r="D169" s="42">
        <f>SUM(D170:D174)</f>
        <v>3210.6999999999994</v>
      </c>
      <c r="E169" s="42"/>
      <c r="F169" s="42">
        <f>SUM(F170:F174)</f>
        <v>2491.9999999999995</v>
      </c>
      <c r="G169" s="43">
        <f t="shared" si="33"/>
        <v>2491.9999999999995</v>
      </c>
      <c r="H169" s="184" t="e">
        <f t="shared" si="34"/>
        <v>#DIV/0!</v>
      </c>
      <c r="J169" s="91"/>
      <c r="N169" s="89"/>
      <c r="O169" s="89"/>
    </row>
    <row r="170" spans="1:15" ht="24.75" customHeight="1">
      <c r="A170" s="38"/>
      <c r="B170" s="21" t="s">
        <v>192</v>
      </c>
      <c r="C170" s="63"/>
      <c r="D170" s="18">
        <v>2637.6</v>
      </c>
      <c r="E170" s="18"/>
      <c r="F170" s="18">
        <v>2071.1</v>
      </c>
      <c r="G170" s="15">
        <f t="shared" si="33"/>
        <v>2071.1</v>
      </c>
      <c r="H170" s="56" t="e">
        <f t="shared" si="34"/>
        <v>#DIV/0!</v>
      </c>
    </row>
    <row r="171" spans="1:15" ht="24.75" customHeight="1">
      <c r="A171" s="38"/>
      <c r="B171" s="21" t="s">
        <v>172</v>
      </c>
      <c r="C171" s="63"/>
      <c r="D171" s="18">
        <v>0.7</v>
      </c>
      <c r="E171" s="18"/>
      <c r="F171" s="18">
        <v>31.7</v>
      </c>
      <c r="G171" s="15">
        <f t="shared" ref="G171:G182" si="38">F171-E171</f>
        <v>31.7</v>
      </c>
      <c r="H171" s="56" t="e">
        <f t="shared" ref="H171:H182" si="39">(F171/E171)*100</f>
        <v>#DIV/0!</v>
      </c>
    </row>
    <row r="172" spans="1:15" ht="24.75" customHeight="1">
      <c r="A172" s="38"/>
      <c r="B172" s="21" t="s">
        <v>137</v>
      </c>
      <c r="C172" s="63"/>
      <c r="D172" s="18">
        <v>236.7</v>
      </c>
      <c r="E172" s="18"/>
      <c r="F172" s="18">
        <v>198.2</v>
      </c>
      <c r="G172" s="15">
        <f t="shared" si="38"/>
        <v>198.2</v>
      </c>
      <c r="H172" s="56" t="e">
        <f t="shared" si="39"/>
        <v>#DIV/0!</v>
      </c>
    </row>
    <row r="173" spans="1:15" ht="24.75" customHeight="1">
      <c r="A173" s="38"/>
      <c r="B173" s="21" t="s">
        <v>199</v>
      </c>
      <c r="C173" s="63"/>
      <c r="D173" s="18"/>
      <c r="E173" s="18"/>
      <c r="F173" s="18">
        <v>3</v>
      </c>
      <c r="G173" s="15">
        <f t="shared" si="38"/>
        <v>3</v>
      </c>
      <c r="H173" s="56" t="e">
        <f t="shared" si="39"/>
        <v>#DIV/0!</v>
      </c>
    </row>
    <row r="174" spans="1:15" ht="40.5" customHeight="1">
      <c r="A174" s="38"/>
      <c r="B174" s="17" t="s">
        <v>193</v>
      </c>
      <c r="C174" s="63"/>
      <c r="D174" s="18">
        <v>335.7</v>
      </c>
      <c r="E174" s="18"/>
      <c r="F174" s="18">
        <v>188</v>
      </c>
      <c r="G174" s="15">
        <f t="shared" si="38"/>
        <v>188</v>
      </c>
      <c r="H174" s="56" t="e">
        <f t="shared" si="39"/>
        <v>#DIV/0!</v>
      </c>
      <c r="I174" s="20"/>
    </row>
    <row r="175" spans="1:15" s="87" customFormat="1" ht="24.75" customHeight="1">
      <c r="A175" s="73" t="s">
        <v>235</v>
      </c>
      <c r="B175" s="74" t="s">
        <v>97</v>
      </c>
      <c r="C175" s="70">
        <v>1015</v>
      </c>
      <c r="D175" s="42">
        <f>SUM(D176:D182)</f>
        <v>366.09999999999997</v>
      </c>
      <c r="E175" s="42"/>
      <c r="F175" s="42">
        <f>SUM(F176:F182)</f>
        <v>394.20000000000005</v>
      </c>
      <c r="G175" s="43">
        <f t="shared" si="38"/>
        <v>394.20000000000005</v>
      </c>
      <c r="H175" s="184" t="e">
        <f t="shared" si="39"/>
        <v>#DIV/0!</v>
      </c>
      <c r="I175" s="169"/>
      <c r="J175" s="91"/>
      <c r="N175" s="89"/>
      <c r="O175" s="89"/>
    </row>
    <row r="176" spans="1:15" ht="24.75" customHeight="1">
      <c r="A176" s="75"/>
      <c r="B176" s="228" t="s">
        <v>146</v>
      </c>
      <c r="C176" s="11"/>
      <c r="D176" s="18">
        <v>32.9</v>
      </c>
      <c r="E176" s="18"/>
      <c r="F176" s="18">
        <v>2.1</v>
      </c>
      <c r="G176" s="15">
        <f t="shared" si="38"/>
        <v>2.1</v>
      </c>
      <c r="H176" s="56" t="e">
        <f t="shared" si="39"/>
        <v>#DIV/0!</v>
      </c>
      <c r="I176" s="20"/>
      <c r="K176" s="2"/>
    </row>
    <row r="177" spans="1:10" ht="24.75" customHeight="1">
      <c r="A177" s="38"/>
      <c r="B177" s="17" t="s">
        <v>163</v>
      </c>
      <c r="C177" s="11"/>
      <c r="D177" s="18">
        <v>265.5</v>
      </c>
      <c r="E177" s="18"/>
      <c r="F177" s="18">
        <f>152.4+167.4</f>
        <v>319.8</v>
      </c>
      <c r="G177" s="15">
        <f t="shared" si="38"/>
        <v>319.8</v>
      </c>
      <c r="H177" s="56" t="e">
        <f t="shared" si="39"/>
        <v>#DIV/0!</v>
      </c>
    </row>
    <row r="178" spans="1:10" ht="24.75" customHeight="1">
      <c r="A178" s="38"/>
      <c r="B178" s="17" t="s">
        <v>319</v>
      </c>
      <c r="C178" s="11"/>
      <c r="D178" s="18">
        <v>0.4</v>
      </c>
      <c r="E178" s="18"/>
      <c r="F178" s="18"/>
      <c r="G178" s="15">
        <f t="shared" si="38"/>
        <v>0</v>
      </c>
      <c r="H178" s="56" t="e">
        <f t="shared" si="39"/>
        <v>#DIV/0!</v>
      </c>
    </row>
    <row r="179" spans="1:10" ht="24.75" customHeight="1">
      <c r="A179" s="38"/>
      <c r="B179" s="17" t="s">
        <v>184</v>
      </c>
      <c r="C179" s="11"/>
      <c r="D179" s="18">
        <v>8.6</v>
      </c>
      <c r="E179" s="18"/>
      <c r="F179" s="18">
        <f>41.7+25.5</f>
        <v>67.2</v>
      </c>
      <c r="G179" s="15">
        <f t="shared" si="38"/>
        <v>67.2</v>
      </c>
      <c r="H179" s="56" t="e">
        <f t="shared" si="39"/>
        <v>#DIV/0!</v>
      </c>
    </row>
    <row r="180" spans="1:10" ht="24.75" customHeight="1">
      <c r="A180" s="38"/>
      <c r="B180" s="17" t="s">
        <v>173</v>
      </c>
      <c r="C180" s="11"/>
      <c r="D180" s="18"/>
      <c r="E180" s="18"/>
      <c r="F180" s="18">
        <v>2.6</v>
      </c>
      <c r="G180" s="15">
        <f t="shared" si="38"/>
        <v>2.6</v>
      </c>
      <c r="H180" s="56" t="e">
        <f t="shared" si="39"/>
        <v>#DIV/0!</v>
      </c>
    </row>
    <row r="181" spans="1:10" ht="24.75" customHeight="1">
      <c r="A181" s="38"/>
      <c r="B181" s="17" t="s">
        <v>320</v>
      </c>
      <c r="C181" s="11"/>
      <c r="D181" s="18">
        <v>53.5</v>
      </c>
      <c r="E181" s="18"/>
      <c r="F181" s="18"/>
      <c r="G181" s="15">
        <f t="shared" si="38"/>
        <v>0</v>
      </c>
      <c r="H181" s="56" t="e">
        <f t="shared" si="39"/>
        <v>#DIV/0!</v>
      </c>
    </row>
    <row r="182" spans="1:10" ht="24.75" customHeight="1">
      <c r="A182" s="38"/>
      <c r="B182" s="17" t="s">
        <v>169</v>
      </c>
      <c r="C182" s="11"/>
      <c r="D182" s="18">
        <v>5.2</v>
      </c>
      <c r="E182" s="18"/>
      <c r="F182" s="18">
        <f>2.5</f>
        <v>2.5</v>
      </c>
      <c r="G182" s="15">
        <f t="shared" si="38"/>
        <v>2.5</v>
      </c>
      <c r="H182" s="56" t="e">
        <f t="shared" si="39"/>
        <v>#DIV/0!</v>
      </c>
    </row>
    <row r="183" spans="1:10" ht="32.25" customHeight="1">
      <c r="A183" s="38" t="s">
        <v>446</v>
      </c>
      <c r="B183" s="57" t="s">
        <v>201</v>
      </c>
      <c r="C183" s="224"/>
      <c r="D183" s="14">
        <f>D185+D203+D217</f>
        <v>303.8</v>
      </c>
      <c r="E183" s="14">
        <f>E185+E203</f>
        <v>0</v>
      </c>
      <c r="F183" s="14">
        <f>F185+F203+F217</f>
        <v>333</v>
      </c>
      <c r="G183" s="19">
        <f t="shared" si="33"/>
        <v>333</v>
      </c>
      <c r="H183" s="183" t="e">
        <f t="shared" si="34"/>
        <v>#DIV/0!</v>
      </c>
      <c r="I183" s="20"/>
    </row>
    <row r="184" spans="1:10" ht="27" customHeight="1">
      <c r="A184" s="38"/>
      <c r="B184" s="68" t="s">
        <v>86</v>
      </c>
      <c r="C184" s="224"/>
      <c r="D184" s="18"/>
      <c r="E184" s="18"/>
      <c r="F184" s="18"/>
      <c r="G184" s="15"/>
      <c r="H184" s="56"/>
      <c r="J184" s="28"/>
    </row>
    <row r="185" spans="1:10" ht="24.75" customHeight="1">
      <c r="A185" s="38" t="s">
        <v>447</v>
      </c>
      <c r="B185" s="225" t="s">
        <v>90</v>
      </c>
      <c r="C185" s="224">
        <v>1010</v>
      </c>
      <c r="D185" s="14">
        <f>D186+D191+D192</f>
        <v>174.8</v>
      </c>
      <c r="E185" s="14">
        <f>E186+E191+E192</f>
        <v>0</v>
      </c>
      <c r="F185" s="14">
        <f>F186+F191+F192</f>
        <v>218.89999999999998</v>
      </c>
      <c r="G185" s="19">
        <f t="shared" si="33"/>
        <v>218.89999999999998</v>
      </c>
      <c r="H185" s="183" t="e">
        <f t="shared" si="34"/>
        <v>#DIV/0!</v>
      </c>
    </row>
    <row r="186" spans="1:10" ht="27.75" customHeight="1">
      <c r="A186" s="73" t="s">
        <v>448</v>
      </c>
      <c r="B186" s="59" t="s">
        <v>105</v>
      </c>
      <c r="C186" s="41">
        <v>1011</v>
      </c>
      <c r="D186" s="42">
        <f>SUM(D187:D190)</f>
        <v>86.800000000000011</v>
      </c>
      <c r="E186" s="42">
        <f>SUM(E187:E190)</f>
        <v>0</v>
      </c>
      <c r="F186" s="42">
        <f>SUM(F187:F190)</f>
        <v>148.4</v>
      </c>
      <c r="G186" s="43">
        <f t="shared" si="33"/>
        <v>148.4</v>
      </c>
      <c r="H186" s="184" t="e">
        <f t="shared" si="34"/>
        <v>#DIV/0!</v>
      </c>
    </row>
    <row r="187" spans="1:10" ht="24.75" customHeight="1">
      <c r="A187" s="75"/>
      <c r="B187" s="21" t="s">
        <v>202</v>
      </c>
      <c r="C187" s="63"/>
      <c r="D187" s="18">
        <v>9.8000000000000007</v>
      </c>
      <c r="E187" s="18"/>
      <c r="F187" s="18"/>
      <c r="G187" s="15">
        <f t="shared" si="33"/>
        <v>0</v>
      </c>
      <c r="H187" s="56" t="e">
        <f t="shared" si="34"/>
        <v>#DIV/0!</v>
      </c>
    </row>
    <row r="188" spans="1:10" ht="24.75" customHeight="1">
      <c r="A188" s="75"/>
      <c r="B188" s="21" t="s">
        <v>172</v>
      </c>
      <c r="C188" s="63"/>
      <c r="D188" s="18"/>
      <c r="E188" s="18"/>
      <c r="F188" s="18">
        <v>0.7</v>
      </c>
      <c r="G188" s="15">
        <f t="shared" ref="G188:G220" si="40">F188-E188</f>
        <v>0.7</v>
      </c>
      <c r="H188" s="56" t="e">
        <f t="shared" ref="H188:H220" si="41">(F188/E188)*100</f>
        <v>#DIV/0!</v>
      </c>
    </row>
    <row r="189" spans="1:10" ht="39.75" customHeight="1">
      <c r="A189" s="75"/>
      <c r="B189" s="17" t="s">
        <v>193</v>
      </c>
      <c r="C189" s="63"/>
      <c r="D189" s="18">
        <v>23.8</v>
      </c>
      <c r="E189" s="18"/>
      <c r="F189" s="18">
        <v>12.8</v>
      </c>
      <c r="G189" s="15">
        <f t="shared" si="40"/>
        <v>12.8</v>
      </c>
      <c r="H189" s="56" t="e">
        <f t="shared" si="41"/>
        <v>#DIV/0!</v>
      </c>
    </row>
    <row r="190" spans="1:10" ht="24.75" customHeight="1">
      <c r="A190" s="75"/>
      <c r="B190" s="17" t="s">
        <v>199</v>
      </c>
      <c r="C190" s="63"/>
      <c r="D190" s="18">
        <v>53.2</v>
      </c>
      <c r="E190" s="18"/>
      <c r="F190" s="18">
        <v>134.9</v>
      </c>
      <c r="G190" s="15">
        <f t="shared" si="40"/>
        <v>134.9</v>
      </c>
      <c r="H190" s="56" t="e">
        <f t="shared" si="41"/>
        <v>#DIV/0!</v>
      </c>
    </row>
    <row r="191" spans="1:10" ht="24.75" customHeight="1">
      <c r="A191" s="73" t="s">
        <v>449</v>
      </c>
      <c r="B191" s="59" t="s">
        <v>4</v>
      </c>
      <c r="C191" s="70">
        <v>1014</v>
      </c>
      <c r="D191" s="42">
        <v>7.8</v>
      </c>
      <c r="E191" s="42"/>
      <c r="F191" s="42">
        <v>17.7</v>
      </c>
      <c r="G191" s="43">
        <f t="shared" si="40"/>
        <v>17.7</v>
      </c>
      <c r="H191" s="184" t="e">
        <f t="shared" si="41"/>
        <v>#DIV/0!</v>
      </c>
    </row>
    <row r="192" spans="1:10" ht="24.75" customHeight="1">
      <c r="A192" s="73" t="s">
        <v>450</v>
      </c>
      <c r="B192" s="74" t="s">
        <v>97</v>
      </c>
      <c r="C192" s="70">
        <v>1015</v>
      </c>
      <c r="D192" s="42">
        <f>SUM(D193:D202)</f>
        <v>80.2</v>
      </c>
      <c r="E192" s="42">
        <f>SUM(E193:E202)</f>
        <v>0</v>
      </c>
      <c r="F192" s="42">
        <f>SUM(F193:F202)</f>
        <v>52.8</v>
      </c>
      <c r="G192" s="43">
        <f t="shared" si="40"/>
        <v>52.8</v>
      </c>
      <c r="H192" s="184" t="e">
        <f t="shared" si="41"/>
        <v>#DIV/0!</v>
      </c>
      <c r="I192" s="20"/>
      <c r="J192" s="28"/>
    </row>
    <row r="193" spans="1:9" ht="24.75" customHeight="1">
      <c r="A193" s="38"/>
      <c r="B193" s="17" t="s">
        <v>146</v>
      </c>
      <c r="C193" s="224"/>
      <c r="D193" s="18">
        <v>1.1000000000000001</v>
      </c>
      <c r="E193" s="18"/>
      <c r="F193" s="18"/>
      <c r="G193" s="15">
        <f t="shared" si="40"/>
        <v>0</v>
      </c>
      <c r="H193" s="56" t="e">
        <f t="shared" si="41"/>
        <v>#DIV/0!</v>
      </c>
    </row>
    <row r="194" spans="1:9" ht="24.75" customHeight="1">
      <c r="A194" s="38"/>
      <c r="B194" s="17" t="s">
        <v>150</v>
      </c>
      <c r="C194" s="63"/>
      <c r="D194" s="18">
        <v>5.9</v>
      </c>
      <c r="E194" s="18"/>
      <c r="F194" s="18">
        <f>2.1+3.2</f>
        <v>5.3000000000000007</v>
      </c>
      <c r="G194" s="15">
        <f t="shared" si="40"/>
        <v>5.3000000000000007</v>
      </c>
      <c r="H194" s="56" t="e">
        <f t="shared" si="41"/>
        <v>#DIV/0!</v>
      </c>
    </row>
    <row r="195" spans="1:9" ht="24.75" customHeight="1">
      <c r="A195" s="38"/>
      <c r="B195" s="17" t="s">
        <v>237</v>
      </c>
      <c r="C195" s="63"/>
      <c r="D195" s="18">
        <v>1.4</v>
      </c>
      <c r="E195" s="18"/>
      <c r="F195" s="18"/>
      <c r="G195" s="15">
        <f t="shared" si="40"/>
        <v>0</v>
      </c>
      <c r="H195" s="56" t="e">
        <f t="shared" si="41"/>
        <v>#DIV/0!</v>
      </c>
    </row>
    <row r="196" spans="1:9" ht="24.75" customHeight="1">
      <c r="A196" s="38"/>
      <c r="B196" s="17" t="s">
        <v>161</v>
      </c>
      <c r="C196" s="63"/>
      <c r="D196" s="18">
        <v>17.100000000000001</v>
      </c>
      <c r="E196" s="18"/>
      <c r="F196" s="18">
        <f>2.6+3.8</f>
        <v>6.4</v>
      </c>
      <c r="G196" s="15">
        <f t="shared" si="40"/>
        <v>6.4</v>
      </c>
      <c r="H196" s="56" t="e">
        <f t="shared" si="41"/>
        <v>#DIV/0!</v>
      </c>
    </row>
    <row r="197" spans="1:9" ht="24.75" customHeight="1">
      <c r="A197" s="38"/>
      <c r="B197" s="17" t="s">
        <v>162</v>
      </c>
      <c r="C197" s="63"/>
      <c r="D197" s="18">
        <v>19.8</v>
      </c>
      <c r="E197" s="18"/>
      <c r="F197" s="18">
        <v>6.3</v>
      </c>
      <c r="G197" s="15">
        <f t="shared" si="40"/>
        <v>6.3</v>
      </c>
      <c r="H197" s="56" t="e">
        <f t="shared" si="41"/>
        <v>#DIV/0!</v>
      </c>
    </row>
    <row r="198" spans="1:9" ht="24.75" customHeight="1">
      <c r="A198" s="38"/>
      <c r="B198" s="17" t="s">
        <v>319</v>
      </c>
      <c r="C198" s="63"/>
      <c r="D198" s="18">
        <v>0.4</v>
      </c>
      <c r="E198" s="18"/>
      <c r="F198" s="18">
        <v>0.3</v>
      </c>
      <c r="G198" s="15">
        <f t="shared" si="40"/>
        <v>0.3</v>
      </c>
      <c r="H198" s="56" t="e">
        <f t="shared" si="41"/>
        <v>#DIV/0!</v>
      </c>
    </row>
    <row r="199" spans="1:9" ht="24.75" customHeight="1">
      <c r="A199" s="38"/>
      <c r="B199" s="17" t="s">
        <v>160</v>
      </c>
      <c r="C199" s="63"/>
      <c r="D199" s="18">
        <v>0.8</v>
      </c>
      <c r="E199" s="18"/>
      <c r="F199" s="18">
        <f>0.9+0.9</f>
        <v>1.8</v>
      </c>
      <c r="G199" s="15">
        <f t="shared" si="40"/>
        <v>1.8</v>
      </c>
      <c r="H199" s="56" t="e">
        <f t="shared" si="41"/>
        <v>#DIV/0!</v>
      </c>
    </row>
    <row r="200" spans="1:9" ht="24.75" customHeight="1">
      <c r="A200" s="38"/>
      <c r="B200" s="17" t="s">
        <v>208</v>
      </c>
      <c r="C200" s="63"/>
      <c r="D200" s="18">
        <v>1.2</v>
      </c>
      <c r="E200" s="18"/>
      <c r="F200" s="18"/>
      <c r="G200" s="15">
        <f t="shared" si="40"/>
        <v>0</v>
      </c>
      <c r="H200" s="56" t="e">
        <f t="shared" si="41"/>
        <v>#DIV/0!</v>
      </c>
    </row>
    <row r="201" spans="1:9" ht="24.75" customHeight="1">
      <c r="A201" s="38"/>
      <c r="B201" s="17" t="s">
        <v>281</v>
      </c>
      <c r="C201" s="63"/>
      <c r="D201" s="18">
        <v>9.3000000000000007</v>
      </c>
      <c r="E201" s="18"/>
      <c r="F201" s="18">
        <f>11.2</f>
        <v>11.2</v>
      </c>
      <c r="G201" s="15">
        <f t="shared" si="40"/>
        <v>11.2</v>
      </c>
      <c r="H201" s="56" t="e">
        <f t="shared" si="41"/>
        <v>#DIV/0!</v>
      </c>
    </row>
    <row r="202" spans="1:9" ht="24.75" customHeight="1">
      <c r="A202" s="38"/>
      <c r="B202" s="17" t="s">
        <v>207</v>
      </c>
      <c r="C202" s="63"/>
      <c r="D202" s="18">
        <v>23.2</v>
      </c>
      <c r="E202" s="18"/>
      <c r="F202" s="18">
        <v>21.5</v>
      </c>
      <c r="G202" s="15">
        <f t="shared" si="40"/>
        <v>21.5</v>
      </c>
      <c r="H202" s="56" t="e">
        <f t="shared" si="41"/>
        <v>#DIV/0!</v>
      </c>
    </row>
    <row r="203" spans="1:9" ht="27" customHeight="1">
      <c r="A203" s="38" t="s">
        <v>451</v>
      </c>
      <c r="B203" s="225" t="s">
        <v>92</v>
      </c>
      <c r="C203" s="224">
        <v>1020</v>
      </c>
      <c r="D203" s="14">
        <f>D204+D207</f>
        <v>64.099999999999994</v>
      </c>
      <c r="E203" s="14">
        <f>E204+E207</f>
        <v>0</v>
      </c>
      <c r="F203" s="14">
        <f>F204+F207</f>
        <v>71.3</v>
      </c>
      <c r="G203" s="19">
        <f t="shared" si="40"/>
        <v>71.3</v>
      </c>
      <c r="H203" s="183" t="e">
        <f t="shared" si="41"/>
        <v>#DIV/0!</v>
      </c>
      <c r="I203" s="20"/>
    </row>
    <row r="204" spans="1:9" ht="28.5" customHeight="1">
      <c r="A204" s="73" t="s">
        <v>452</v>
      </c>
      <c r="B204" s="72" t="s">
        <v>105</v>
      </c>
      <c r="C204" s="70">
        <v>1021</v>
      </c>
      <c r="D204" s="42">
        <f>SUM(D205:D206)</f>
        <v>18.399999999999999</v>
      </c>
      <c r="E204" s="42">
        <f>E205</f>
        <v>0</v>
      </c>
      <c r="F204" s="42">
        <f>F205</f>
        <v>0</v>
      </c>
      <c r="G204" s="43">
        <f t="shared" si="40"/>
        <v>0</v>
      </c>
      <c r="H204" s="184" t="e">
        <f t="shared" si="41"/>
        <v>#DIV/0!</v>
      </c>
    </row>
    <row r="205" spans="1:9" ht="24.75" customHeight="1">
      <c r="A205" s="38"/>
      <c r="B205" s="228" t="s">
        <v>199</v>
      </c>
      <c r="C205" s="224"/>
      <c r="D205" s="18">
        <v>13</v>
      </c>
      <c r="E205" s="18"/>
      <c r="F205" s="18"/>
      <c r="G205" s="15">
        <f t="shared" si="40"/>
        <v>0</v>
      </c>
      <c r="H205" s="56" t="e">
        <f t="shared" si="41"/>
        <v>#DIV/0!</v>
      </c>
    </row>
    <row r="206" spans="1:9" ht="51.75" customHeight="1">
      <c r="A206" s="38"/>
      <c r="B206" s="17" t="s">
        <v>193</v>
      </c>
      <c r="C206" s="224"/>
      <c r="D206" s="18">
        <v>5.4</v>
      </c>
      <c r="E206" s="18"/>
      <c r="F206" s="18"/>
      <c r="G206" s="15">
        <f t="shared" si="40"/>
        <v>0</v>
      </c>
      <c r="H206" s="56" t="e">
        <f t="shared" si="41"/>
        <v>#DIV/0!</v>
      </c>
    </row>
    <row r="207" spans="1:9" ht="24.75" customHeight="1">
      <c r="A207" s="73" t="s">
        <v>453</v>
      </c>
      <c r="B207" s="59" t="s">
        <v>171</v>
      </c>
      <c r="C207" s="41">
        <v>1025</v>
      </c>
      <c r="D207" s="42">
        <f>SUM(D208:D216)</f>
        <v>45.7</v>
      </c>
      <c r="E207" s="42">
        <f>SUM(E208:E216)</f>
        <v>0</v>
      </c>
      <c r="F207" s="42">
        <f>SUM(F208:F216)</f>
        <v>71.3</v>
      </c>
      <c r="G207" s="43">
        <f t="shared" si="40"/>
        <v>71.3</v>
      </c>
      <c r="H207" s="184" t="e">
        <f t="shared" si="41"/>
        <v>#DIV/0!</v>
      </c>
    </row>
    <row r="208" spans="1:9" ht="24.75" customHeight="1">
      <c r="A208" s="38"/>
      <c r="B208" s="21" t="s">
        <v>150</v>
      </c>
      <c r="C208" s="63"/>
      <c r="D208" s="18">
        <v>2.9</v>
      </c>
      <c r="E208" s="18"/>
      <c r="F208" s="18"/>
      <c r="G208" s="15">
        <f t="shared" si="40"/>
        <v>0</v>
      </c>
      <c r="H208" s="56" t="e">
        <f t="shared" si="41"/>
        <v>#DIV/0!</v>
      </c>
    </row>
    <row r="209" spans="1:11" ht="40.5" customHeight="1">
      <c r="A209" s="38"/>
      <c r="B209" s="17" t="s">
        <v>200</v>
      </c>
      <c r="C209" s="45"/>
      <c r="D209" s="18">
        <v>26.2</v>
      </c>
      <c r="E209" s="18"/>
      <c r="F209" s="18">
        <f>3.8+23.1</f>
        <v>26.900000000000002</v>
      </c>
      <c r="G209" s="15">
        <f t="shared" si="40"/>
        <v>26.900000000000002</v>
      </c>
      <c r="H209" s="56" t="e">
        <f t="shared" si="41"/>
        <v>#DIV/0!</v>
      </c>
    </row>
    <row r="210" spans="1:11" ht="27.75" customHeight="1">
      <c r="A210" s="38"/>
      <c r="B210" s="17" t="s">
        <v>165</v>
      </c>
      <c r="C210" s="45"/>
      <c r="D210" s="18">
        <v>3.1</v>
      </c>
      <c r="E210" s="18"/>
      <c r="F210" s="18">
        <v>2</v>
      </c>
      <c r="G210" s="15">
        <f t="shared" si="40"/>
        <v>2</v>
      </c>
      <c r="H210" s="56" t="e">
        <f t="shared" si="41"/>
        <v>#DIV/0!</v>
      </c>
    </row>
    <row r="211" spans="1:11" ht="24" customHeight="1">
      <c r="A211" s="38"/>
      <c r="B211" s="17" t="s">
        <v>185</v>
      </c>
      <c r="C211" s="45"/>
      <c r="D211" s="18">
        <v>0.5</v>
      </c>
      <c r="E211" s="18"/>
      <c r="F211" s="18">
        <v>0.8</v>
      </c>
      <c r="G211" s="15">
        <f t="shared" si="40"/>
        <v>0.8</v>
      </c>
      <c r="H211" s="56" t="e">
        <f t="shared" si="41"/>
        <v>#DIV/0!</v>
      </c>
    </row>
    <row r="212" spans="1:11" ht="24" customHeight="1">
      <c r="A212" s="38"/>
      <c r="B212" s="17" t="s">
        <v>248</v>
      </c>
      <c r="C212" s="45"/>
      <c r="D212" s="18"/>
      <c r="E212" s="18"/>
      <c r="F212" s="18">
        <f>9</f>
        <v>9</v>
      </c>
      <c r="G212" s="15">
        <f t="shared" si="40"/>
        <v>9</v>
      </c>
      <c r="H212" s="56" t="e">
        <f t="shared" si="41"/>
        <v>#DIV/0!</v>
      </c>
    </row>
    <row r="213" spans="1:11" ht="24" customHeight="1">
      <c r="A213" s="38"/>
      <c r="B213" s="17" t="s">
        <v>208</v>
      </c>
      <c r="C213" s="45"/>
      <c r="D213" s="18">
        <v>1</v>
      </c>
      <c r="E213" s="18"/>
      <c r="F213" s="18"/>
      <c r="G213" s="15">
        <f t="shared" si="40"/>
        <v>0</v>
      </c>
      <c r="H213" s="56" t="e">
        <f t="shared" si="41"/>
        <v>#DIV/0!</v>
      </c>
    </row>
    <row r="214" spans="1:11" ht="24" customHeight="1">
      <c r="A214" s="38"/>
      <c r="B214" s="17" t="s">
        <v>244</v>
      </c>
      <c r="C214" s="63"/>
      <c r="D214" s="18">
        <v>3.1</v>
      </c>
      <c r="E214" s="18"/>
      <c r="F214" s="18">
        <v>14.3</v>
      </c>
      <c r="G214" s="15">
        <f t="shared" si="40"/>
        <v>14.3</v>
      </c>
      <c r="H214" s="56" t="e">
        <f t="shared" si="41"/>
        <v>#DIV/0!</v>
      </c>
    </row>
    <row r="215" spans="1:11" ht="24" customHeight="1">
      <c r="A215" s="38"/>
      <c r="B215" s="17" t="s">
        <v>162</v>
      </c>
      <c r="C215" s="63"/>
      <c r="D215" s="18">
        <v>3.7</v>
      </c>
      <c r="E215" s="18"/>
      <c r="F215" s="18">
        <v>3.6</v>
      </c>
      <c r="G215" s="15">
        <f t="shared" si="40"/>
        <v>3.6</v>
      </c>
      <c r="H215" s="56" t="e">
        <f t="shared" si="41"/>
        <v>#DIV/0!</v>
      </c>
    </row>
    <row r="216" spans="1:11" ht="26.25" customHeight="1">
      <c r="A216" s="38"/>
      <c r="B216" s="17" t="s">
        <v>155</v>
      </c>
      <c r="C216" s="45"/>
      <c r="D216" s="18">
        <v>5.2</v>
      </c>
      <c r="E216" s="18"/>
      <c r="F216" s="18">
        <v>14.7</v>
      </c>
      <c r="G216" s="15">
        <f t="shared" si="40"/>
        <v>14.7</v>
      </c>
      <c r="H216" s="56" t="e">
        <f t="shared" si="41"/>
        <v>#DIV/0!</v>
      </c>
    </row>
    <row r="217" spans="1:11" ht="26.25" customHeight="1">
      <c r="A217" s="38" t="s">
        <v>454</v>
      </c>
      <c r="B217" s="57" t="s">
        <v>238</v>
      </c>
      <c r="C217" s="63">
        <v>1030</v>
      </c>
      <c r="D217" s="18">
        <f>D218</f>
        <v>64.900000000000006</v>
      </c>
      <c r="E217" s="18"/>
      <c r="F217" s="14">
        <f>F218</f>
        <v>42.8</v>
      </c>
      <c r="G217" s="15">
        <f t="shared" si="40"/>
        <v>42.8</v>
      </c>
      <c r="H217" s="56" t="e">
        <f t="shared" si="41"/>
        <v>#DIV/0!</v>
      </c>
    </row>
    <row r="218" spans="1:11" ht="26.25" customHeight="1">
      <c r="A218" s="73" t="s">
        <v>455</v>
      </c>
      <c r="B218" s="40" t="s">
        <v>238</v>
      </c>
      <c r="C218" s="41">
        <v>1035</v>
      </c>
      <c r="D218" s="18">
        <f>SUM(D219:D220)</f>
        <v>64.900000000000006</v>
      </c>
      <c r="E218" s="18"/>
      <c r="F218" s="42">
        <f>F219+F220</f>
        <v>42.8</v>
      </c>
      <c r="G218" s="15">
        <f t="shared" si="40"/>
        <v>42.8</v>
      </c>
      <c r="H218" s="56" t="e">
        <f t="shared" si="41"/>
        <v>#DIV/0!</v>
      </c>
    </row>
    <row r="219" spans="1:11" ht="22.5" customHeight="1">
      <c r="A219" s="38"/>
      <c r="B219" s="17" t="s">
        <v>197</v>
      </c>
      <c r="C219" s="45"/>
      <c r="D219" s="18">
        <v>53.4</v>
      </c>
      <c r="E219" s="18"/>
      <c r="F219" s="18">
        <v>42.8</v>
      </c>
      <c r="G219" s="15">
        <f t="shared" si="40"/>
        <v>42.8</v>
      </c>
      <c r="H219" s="56" t="e">
        <f t="shared" si="41"/>
        <v>#DIV/0!</v>
      </c>
    </row>
    <row r="220" spans="1:11" ht="22.5" customHeight="1">
      <c r="A220" s="38"/>
      <c r="B220" s="17" t="s">
        <v>230</v>
      </c>
      <c r="C220" s="45"/>
      <c r="D220" s="18">
        <v>11.5</v>
      </c>
      <c r="E220" s="18"/>
      <c r="F220" s="18"/>
      <c r="G220" s="15">
        <f t="shared" si="40"/>
        <v>0</v>
      </c>
      <c r="H220" s="56" t="e">
        <f t="shared" si="41"/>
        <v>#DIV/0!</v>
      </c>
    </row>
    <row r="221" spans="1:11" ht="30" customHeight="1">
      <c r="A221" s="38" t="s">
        <v>241</v>
      </c>
      <c r="B221" s="223" t="s">
        <v>203</v>
      </c>
      <c r="C221" s="63"/>
      <c r="D221" s="14">
        <f>D223+D226</f>
        <v>2877.7000000000003</v>
      </c>
      <c r="E221" s="14">
        <f>E223+E226</f>
        <v>2258</v>
      </c>
      <c r="F221" s="14">
        <f>F223+F226</f>
        <v>3965.7</v>
      </c>
      <c r="G221" s="19">
        <f t="shared" ref="G221:G228" si="42">F221-E221</f>
        <v>1707.6999999999998</v>
      </c>
      <c r="H221" s="19">
        <f t="shared" ref="H221:H228" si="43">(F221/E221)*100</f>
        <v>175.62887511071744</v>
      </c>
      <c r="J221" s="28"/>
    </row>
    <row r="222" spans="1:11" ht="27.75" customHeight="1">
      <c r="A222" s="38"/>
      <c r="B222" s="37" t="s">
        <v>86</v>
      </c>
      <c r="C222" s="63"/>
      <c r="D222" s="18"/>
      <c r="E222" s="18"/>
      <c r="F222" s="18"/>
      <c r="G222" s="15"/>
      <c r="H222" s="15"/>
    </row>
    <row r="223" spans="1:11" ht="27.75" customHeight="1">
      <c r="A223" s="38" t="s">
        <v>456</v>
      </c>
      <c r="B223" s="223" t="s">
        <v>90</v>
      </c>
      <c r="C223" s="63">
        <v>1010</v>
      </c>
      <c r="D223" s="14">
        <f t="shared" ref="D223:F224" si="44">D224</f>
        <v>2723.4</v>
      </c>
      <c r="E223" s="14">
        <f t="shared" si="44"/>
        <v>2140</v>
      </c>
      <c r="F223" s="14">
        <f t="shared" si="44"/>
        <v>3170.5</v>
      </c>
      <c r="G223" s="19">
        <f t="shared" si="42"/>
        <v>1030.5</v>
      </c>
      <c r="H223" s="19">
        <f t="shared" si="43"/>
        <v>148.15420560747663</v>
      </c>
      <c r="I223" s="115"/>
      <c r="J223" s="28"/>
      <c r="K223" s="28"/>
    </row>
    <row r="224" spans="1:11" ht="27.75" customHeight="1">
      <c r="A224" s="73" t="s">
        <v>300</v>
      </c>
      <c r="B224" s="74" t="s">
        <v>4</v>
      </c>
      <c r="C224" s="41">
        <v>1014</v>
      </c>
      <c r="D224" s="42">
        <f t="shared" si="44"/>
        <v>2723.4</v>
      </c>
      <c r="E224" s="42">
        <f t="shared" si="44"/>
        <v>2140</v>
      </c>
      <c r="F224" s="42">
        <f>F225</f>
        <v>3170.5</v>
      </c>
      <c r="G224" s="43">
        <f t="shared" si="42"/>
        <v>1030.5</v>
      </c>
      <c r="H224" s="43">
        <f t="shared" si="43"/>
        <v>148.15420560747663</v>
      </c>
    </row>
    <row r="225" spans="1:15" ht="24.75" customHeight="1">
      <c r="A225" s="38"/>
      <c r="B225" s="228" t="s">
        <v>204</v>
      </c>
      <c r="C225" s="63"/>
      <c r="D225" s="18">
        <v>2723.4</v>
      </c>
      <c r="E225" s="18">
        <v>2140</v>
      </c>
      <c r="F225" s="18">
        <v>3170.5</v>
      </c>
      <c r="G225" s="15">
        <f t="shared" si="42"/>
        <v>1030.5</v>
      </c>
      <c r="H225" s="15">
        <f t="shared" si="43"/>
        <v>148.15420560747663</v>
      </c>
      <c r="I225" s="20"/>
    </row>
    <row r="226" spans="1:15" ht="27.75" customHeight="1">
      <c r="A226" s="38" t="s">
        <v>301</v>
      </c>
      <c r="B226" s="223" t="s">
        <v>92</v>
      </c>
      <c r="C226" s="63">
        <v>1020</v>
      </c>
      <c r="D226" s="14">
        <f t="shared" ref="D226:F227" si="45">D227</f>
        <v>154.30000000000001</v>
      </c>
      <c r="E226" s="14">
        <f>E227</f>
        <v>118</v>
      </c>
      <c r="F226" s="14">
        <f t="shared" si="45"/>
        <v>795.2</v>
      </c>
      <c r="G226" s="19">
        <f t="shared" si="42"/>
        <v>677.2</v>
      </c>
      <c r="H226" s="19">
        <f t="shared" si="43"/>
        <v>673.89830508474574</v>
      </c>
      <c r="I226" s="20"/>
    </row>
    <row r="227" spans="1:15" ht="27.75" customHeight="1">
      <c r="A227" s="73" t="s">
        <v>457</v>
      </c>
      <c r="B227" s="74" t="s">
        <v>4</v>
      </c>
      <c r="C227" s="41">
        <v>1024</v>
      </c>
      <c r="D227" s="42">
        <f t="shared" si="45"/>
        <v>154.30000000000001</v>
      </c>
      <c r="E227" s="42">
        <f t="shared" si="45"/>
        <v>118</v>
      </c>
      <c r="F227" s="42">
        <f t="shared" si="45"/>
        <v>795.2</v>
      </c>
      <c r="G227" s="43">
        <f t="shared" si="42"/>
        <v>677.2</v>
      </c>
      <c r="H227" s="43">
        <f t="shared" si="43"/>
        <v>673.89830508474574</v>
      </c>
    </row>
    <row r="228" spans="1:15" ht="27.75" customHeight="1">
      <c r="A228" s="24"/>
      <c r="B228" s="228" t="s">
        <v>232</v>
      </c>
      <c r="C228" s="4"/>
      <c r="D228" s="81">
        <v>154.30000000000001</v>
      </c>
      <c r="E228" s="81">
        <v>118</v>
      </c>
      <c r="F228" s="81">
        <v>795.2</v>
      </c>
      <c r="G228" s="24">
        <f t="shared" si="42"/>
        <v>677.2</v>
      </c>
      <c r="H228" s="84">
        <f t="shared" si="43"/>
        <v>673.89830508474574</v>
      </c>
    </row>
    <row r="229" spans="1:15" ht="63.75" customHeight="1">
      <c r="B229" s="82" t="s">
        <v>211</v>
      </c>
      <c r="C229" s="30"/>
      <c r="D229" s="254"/>
      <c r="E229" s="254"/>
      <c r="F229" s="247" t="s">
        <v>186</v>
      </c>
      <c r="G229" s="247"/>
      <c r="H229" s="247"/>
    </row>
    <row r="230" spans="1:15" ht="34.5" customHeight="1">
      <c r="B230" s="220"/>
      <c r="C230" s="2"/>
      <c r="D230" s="251" t="s">
        <v>66</v>
      </c>
      <c r="E230" s="251"/>
      <c r="F230" s="248" t="s">
        <v>17</v>
      </c>
      <c r="G230" s="248"/>
      <c r="H230" s="248"/>
    </row>
    <row r="231" spans="1:15" ht="29.25" customHeight="1">
      <c r="B231" s="7"/>
      <c r="D231" s="110"/>
      <c r="E231" s="6"/>
      <c r="F231" s="6"/>
    </row>
    <row r="232" spans="1:15" ht="35.25" customHeight="1">
      <c r="B232" s="7"/>
      <c r="D232" s="110"/>
      <c r="E232" s="6"/>
      <c r="F232" s="6"/>
    </row>
    <row r="233" spans="1:15" ht="35.25" customHeight="1">
      <c r="B233" s="7"/>
      <c r="D233" s="110"/>
      <c r="E233" s="6"/>
      <c r="F233" s="6"/>
    </row>
    <row r="234" spans="1:15" s="5" customFormat="1" ht="39" customHeight="1">
      <c r="A234" s="2"/>
      <c r="B234" s="7"/>
      <c r="C234" s="220"/>
      <c r="D234" s="110"/>
      <c r="E234" s="6"/>
      <c r="F234" s="6"/>
      <c r="G234" s="2"/>
      <c r="H234" s="2"/>
      <c r="J234" s="90"/>
      <c r="N234" s="83"/>
      <c r="O234" s="83"/>
    </row>
    <row r="235" spans="1:15" s="5" customFormat="1" ht="32.25" customHeight="1">
      <c r="A235" s="2"/>
      <c r="B235" s="7"/>
      <c r="C235" s="220"/>
      <c r="D235" s="110"/>
      <c r="E235" s="6"/>
      <c r="F235" s="6"/>
      <c r="G235" s="2"/>
      <c r="H235" s="2"/>
      <c r="J235" s="90"/>
      <c r="N235" s="83"/>
      <c r="O235" s="83"/>
    </row>
    <row r="236" spans="1:15" s="5" customFormat="1" ht="31.5" customHeight="1">
      <c r="A236" s="2"/>
      <c r="B236" s="7"/>
      <c r="C236" s="220"/>
      <c r="D236" s="110"/>
      <c r="E236" s="6"/>
      <c r="F236" s="6"/>
      <c r="G236" s="2"/>
      <c r="H236" s="2"/>
      <c r="J236" s="90"/>
      <c r="N236" s="83"/>
      <c r="O236" s="83"/>
    </row>
    <row r="237" spans="1:15" s="5" customFormat="1" ht="31.5" customHeight="1">
      <c r="A237" s="2"/>
      <c r="B237" s="7"/>
      <c r="C237" s="220"/>
      <c r="D237" s="110"/>
      <c r="E237" s="6"/>
      <c r="F237" s="6"/>
      <c r="G237" s="2"/>
      <c r="H237" s="2"/>
      <c r="J237" s="90"/>
      <c r="N237" s="83"/>
      <c r="O237" s="83"/>
    </row>
    <row r="238" spans="1:15" s="5" customFormat="1" ht="29.25" customHeight="1">
      <c r="A238" s="2"/>
      <c r="B238" s="7"/>
      <c r="C238" s="220"/>
      <c r="D238" s="110"/>
      <c r="E238" s="6"/>
      <c r="F238" s="6"/>
      <c r="G238" s="2"/>
      <c r="H238" s="2"/>
      <c r="J238" s="90"/>
      <c r="N238" s="83"/>
      <c r="O238" s="83"/>
    </row>
    <row r="239" spans="1:15" s="5" customFormat="1" ht="35.25" customHeight="1">
      <c r="A239" s="2"/>
      <c r="B239" s="7"/>
      <c r="C239" s="220"/>
      <c r="D239" s="110"/>
      <c r="E239" s="6"/>
      <c r="F239" s="6"/>
      <c r="G239" s="2"/>
      <c r="H239" s="2"/>
      <c r="J239" s="90"/>
      <c r="N239" s="83"/>
      <c r="O239" s="83"/>
    </row>
    <row r="240" spans="1:15" s="5" customFormat="1" ht="41.25" customHeight="1">
      <c r="A240" s="2"/>
      <c r="B240" s="7"/>
      <c r="C240" s="220"/>
      <c r="D240" s="110"/>
      <c r="E240" s="6"/>
      <c r="F240" s="6"/>
      <c r="G240" s="2"/>
      <c r="H240" s="2"/>
      <c r="J240" s="90"/>
      <c r="N240" s="83"/>
      <c r="O240" s="83"/>
    </row>
    <row r="241" spans="1:15" s="5" customFormat="1" ht="35.25" customHeight="1">
      <c r="A241" s="2"/>
      <c r="B241" s="7"/>
      <c r="C241" s="220"/>
      <c r="D241" s="110"/>
      <c r="E241" s="6"/>
      <c r="F241" s="6"/>
      <c r="G241" s="2"/>
      <c r="H241" s="2"/>
      <c r="J241" s="90"/>
      <c r="N241" s="83"/>
      <c r="O241" s="83"/>
    </row>
    <row r="242" spans="1:15" s="5" customFormat="1" ht="41.25" customHeight="1">
      <c r="A242" s="2"/>
      <c r="B242" s="7"/>
      <c r="C242" s="220"/>
      <c r="D242" s="110"/>
      <c r="E242" s="6"/>
      <c r="F242" s="6"/>
      <c r="G242" s="2"/>
      <c r="H242" s="2"/>
      <c r="J242" s="90"/>
      <c r="N242" s="83"/>
      <c r="O242" s="83"/>
    </row>
    <row r="243" spans="1:15" s="5" customFormat="1" ht="37.5" customHeight="1">
      <c r="A243" s="2"/>
      <c r="B243" s="7"/>
      <c r="C243" s="220"/>
      <c r="D243" s="110"/>
      <c r="E243" s="6"/>
      <c r="F243" s="6"/>
      <c r="G243" s="2"/>
      <c r="H243" s="2"/>
      <c r="J243" s="90"/>
      <c r="N243" s="83"/>
      <c r="O243" s="83"/>
    </row>
    <row r="244" spans="1:15" s="5" customFormat="1" ht="37.5" customHeight="1">
      <c r="A244" s="2"/>
      <c r="B244" s="7"/>
      <c r="C244" s="220"/>
      <c r="D244" s="110"/>
      <c r="E244" s="6"/>
      <c r="F244" s="6"/>
      <c r="G244" s="2"/>
      <c r="H244" s="2"/>
      <c r="J244" s="90"/>
      <c r="N244" s="83"/>
      <c r="O244" s="83"/>
    </row>
    <row r="245" spans="1:15" s="5" customFormat="1" ht="39" customHeight="1">
      <c r="A245" s="2"/>
      <c r="B245" s="7"/>
      <c r="C245" s="220"/>
      <c r="D245" s="110"/>
      <c r="E245" s="6"/>
      <c r="F245" s="6"/>
      <c r="G245" s="2"/>
      <c r="H245" s="2"/>
      <c r="J245" s="90"/>
      <c r="N245" s="83"/>
      <c r="O245" s="83"/>
    </row>
    <row r="246" spans="1:15" s="5" customFormat="1" ht="35.25" customHeight="1">
      <c r="A246" s="2"/>
      <c r="B246" s="7"/>
      <c r="C246" s="220"/>
      <c r="D246" s="110"/>
      <c r="E246" s="6"/>
      <c r="F246" s="6"/>
      <c r="G246" s="2"/>
      <c r="H246" s="2"/>
      <c r="J246" s="90"/>
      <c r="N246" s="83"/>
      <c r="O246" s="83"/>
    </row>
    <row r="247" spans="1:15" s="5" customFormat="1" ht="37.5" customHeight="1">
      <c r="A247" s="2"/>
      <c r="B247" s="7"/>
      <c r="C247" s="220"/>
      <c r="D247" s="110"/>
      <c r="E247" s="6"/>
      <c r="F247" s="6"/>
      <c r="G247" s="2"/>
      <c r="H247" s="2"/>
      <c r="J247" s="90"/>
      <c r="N247" s="83"/>
      <c r="O247" s="83"/>
    </row>
    <row r="248" spans="1:15" s="5" customFormat="1" ht="31.5" customHeight="1">
      <c r="A248" s="2"/>
      <c r="B248" s="7"/>
      <c r="C248" s="220"/>
      <c r="D248" s="110"/>
      <c r="E248" s="6"/>
      <c r="F248" s="6"/>
      <c r="G248" s="2"/>
      <c r="H248" s="2"/>
      <c r="J248" s="90"/>
      <c r="N248" s="83"/>
      <c r="O248" s="83"/>
    </row>
    <row r="249" spans="1:15" s="5" customFormat="1" ht="31.5" customHeight="1">
      <c r="A249" s="2"/>
      <c r="B249" s="7"/>
      <c r="C249" s="220"/>
      <c r="D249" s="110"/>
      <c r="E249" s="6"/>
      <c r="F249" s="6"/>
      <c r="G249" s="2"/>
      <c r="H249" s="2"/>
      <c r="J249" s="90"/>
      <c r="N249" s="83"/>
      <c r="O249" s="83"/>
    </row>
    <row r="250" spans="1:15">
      <c r="B250" s="7"/>
      <c r="D250" s="110"/>
      <c r="E250" s="6"/>
      <c r="F250" s="6"/>
    </row>
    <row r="251" spans="1:15" ht="24.75" customHeight="1">
      <c r="B251" s="7"/>
      <c r="D251" s="110"/>
      <c r="E251" s="6"/>
      <c r="F251" s="6"/>
    </row>
    <row r="252" spans="1:15">
      <c r="B252" s="7"/>
      <c r="D252" s="110"/>
      <c r="E252" s="6"/>
      <c r="F252" s="6"/>
    </row>
    <row r="253" spans="1:15">
      <c r="B253" s="7"/>
      <c r="D253" s="110"/>
      <c r="E253" s="6"/>
      <c r="F253" s="6"/>
    </row>
    <row r="254" spans="1:15">
      <c r="B254" s="7"/>
      <c r="D254" s="110"/>
      <c r="E254" s="6"/>
      <c r="F254" s="6"/>
    </row>
    <row r="255" spans="1:15">
      <c r="B255" s="7"/>
      <c r="D255" s="110"/>
      <c r="E255" s="6"/>
      <c r="F255" s="6"/>
    </row>
    <row r="256" spans="1:15">
      <c r="B256" s="7"/>
      <c r="D256" s="110"/>
      <c r="E256" s="6"/>
      <c r="F256" s="6"/>
    </row>
    <row r="257" spans="2:6">
      <c r="B257" s="7"/>
      <c r="D257" s="110"/>
      <c r="E257" s="6"/>
      <c r="F257" s="6"/>
    </row>
    <row r="258" spans="2:6">
      <c r="B258" s="7"/>
      <c r="D258" s="110"/>
      <c r="E258" s="6"/>
      <c r="F258" s="6"/>
    </row>
    <row r="259" spans="2:6">
      <c r="B259" s="7"/>
      <c r="D259" s="110"/>
      <c r="E259" s="6"/>
      <c r="F259" s="6"/>
    </row>
    <row r="260" spans="2:6">
      <c r="B260" s="7"/>
      <c r="D260" s="110"/>
      <c r="E260" s="6"/>
      <c r="F260" s="6"/>
    </row>
    <row r="261" spans="2:6">
      <c r="B261" s="7"/>
      <c r="D261" s="110"/>
      <c r="E261" s="6"/>
      <c r="F261" s="6"/>
    </row>
    <row r="262" spans="2:6">
      <c r="B262" s="7"/>
      <c r="D262" s="110"/>
      <c r="E262" s="6"/>
      <c r="F262" s="6"/>
    </row>
    <row r="263" spans="2:6">
      <c r="B263" s="7"/>
      <c r="D263" s="110"/>
      <c r="E263" s="6"/>
      <c r="F263" s="6"/>
    </row>
    <row r="264" spans="2:6">
      <c r="B264" s="7"/>
      <c r="D264" s="110"/>
      <c r="E264" s="6"/>
      <c r="F264" s="6"/>
    </row>
    <row r="265" spans="2:6">
      <c r="B265" s="7"/>
      <c r="D265" s="110"/>
      <c r="E265" s="6"/>
      <c r="F265" s="6"/>
    </row>
    <row r="266" spans="2:6">
      <c r="B266" s="7"/>
      <c r="D266" s="110"/>
      <c r="E266" s="6"/>
      <c r="F266" s="6"/>
    </row>
    <row r="267" spans="2:6">
      <c r="B267" s="7"/>
      <c r="D267" s="110"/>
      <c r="E267" s="6"/>
      <c r="F267" s="6"/>
    </row>
    <row r="268" spans="2:6">
      <c r="B268" s="7"/>
      <c r="D268" s="110"/>
      <c r="E268" s="6"/>
      <c r="F268" s="6"/>
    </row>
    <row r="269" spans="2:6">
      <c r="B269" s="7"/>
      <c r="D269" s="110"/>
      <c r="E269" s="6"/>
      <c r="F269" s="6"/>
    </row>
    <row r="270" spans="2:6">
      <c r="B270" s="7"/>
      <c r="D270" s="110"/>
      <c r="E270" s="6"/>
      <c r="F270" s="6"/>
    </row>
    <row r="271" spans="2:6">
      <c r="B271" s="7"/>
      <c r="D271" s="110"/>
      <c r="E271" s="6"/>
      <c r="F271" s="6"/>
    </row>
    <row r="272" spans="2:6">
      <c r="B272" s="7"/>
      <c r="D272" s="110"/>
      <c r="E272" s="6"/>
      <c r="F272" s="6"/>
    </row>
    <row r="273" spans="2:6">
      <c r="B273" s="7"/>
      <c r="D273" s="110"/>
      <c r="E273" s="6"/>
      <c r="F273" s="6"/>
    </row>
    <row r="274" spans="2:6">
      <c r="B274" s="7"/>
      <c r="D274" s="110"/>
      <c r="E274" s="6"/>
      <c r="F274" s="6"/>
    </row>
    <row r="275" spans="2:6">
      <c r="B275" s="7"/>
      <c r="D275" s="110"/>
      <c r="E275" s="6"/>
      <c r="F275" s="6"/>
    </row>
    <row r="276" spans="2:6">
      <c r="B276" s="7"/>
      <c r="D276" s="110"/>
      <c r="E276" s="6"/>
      <c r="F276" s="6"/>
    </row>
    <row r="277" spans="2:6">
      <c r="B277" s="7"/>
      <c r="D277" s="110"/>
      <c r="E277" s="6"/>
      <c r="F277" s="6"/>
    </row>
    <row r="278" spans="2:6">
      <c r="B278" s="7"/>
      <c r="D278" s="110"/>
      <c r="E278" s="6"/>
      <c r="F278" s="6"/>
    </row>
    <row r="279" spans="2:6">
      <c r="B279" s="7"/>
      <c r="D279" s="110"/>
      <c r="E279" s="6"/>
      <c r="F279" s="6"/>
    </row>
    <row r="280" spans="2:6">
      <c r="B280" s="7"/>
      <c r="D280" s="110"/>
      <c r="E280" s="6"/>
      <c r="F280" s="6"/>
    </row>
    <row r="281" spans="2:6">
      <c r="B281" s="7"/>
      <c r="D281" s="110"/>
      <c r="E281" s="6"/>
      <c r="F281" s="6"/>
    </row>
    <row r="282" spans="2:6">
      <c r="B282" s="7"/>
      <c r="D282" s="110"/>
      <c r="E282" s="6"/>
      <c r="F282" s="6"/>
    </row>
    <row r="283" spans="2:6">
      <c r="B283" s="7"/>
      <c r="D283" s="110"/>
      <c r="E283" s="6"/>
      <c r="F283" s="6"/>
    </row>
    <row r="284" spans="2:6">
      <c r="B284" s="7"/>
      <c r="D284" s="110"/>
      <c r="E284" s="6"/>
      <c r="F284" s="6"/>
    </row>
    <row r="285" spans="2:6">
      <c r="B285" s="7"/>
    </row>
    <row r="286" spans="2:6">
      <c r="B286" s="8"/>
    </row>
    <row r="287" spans="2:6">
      <c r="B287" s="8"/>
    </row>
    <row r="288" spans="2:6">
      <c r="B288" s="8"/>
    </row>
    <row r="289" spans="2:2">
      <c r="B289" s="8"/>
    </row>
    <row r="290" spans="2:2">
      <c r="B290" s="8"/>
    </row>
    <row r="291" spans="2:2">
      <c r="B291" s="8"/>
    </row>
    <row r="292" spans="2:2">
      <c r="B292" s="8"/>
    </row>
    <row r="293" spans="2:2">
      <c r="B293" s="8"/>
    </row>
    <row r="294" spans="2:2">
      <c r="B294" s="8"/>
    </row>
    <row r="295" spans="2:2">
      <c r="B295" s="8"/>
    </row>
    <row r="296" spans="2:2">
      <c r="B296" s="8"/>
    </row>
    <row r="297" spans="2:2">
      <c r="B297" s="8"/>
    </row>
    <row r="298" spans="2:2">
      <c r="B298" s="8"/>
    </row>
    <row r="299" spans="2:2">
      <c r="B299" s="8"/>
    </row>
    <row r="300" spans="2:2">
      <c r="B300" s="8"/>
    </row>
    <row r="301" spans="2:2">
      <c r="B301" s="8"/>
    </row>
    <row r="302" spans="2:2">
      <c r="B302" s="8"/>
    </row>
    <row r="303" spans="2:2">
      <c r="B303" s="8"/>
    </row>
    <row r="304" spans="2:2">
      <c r="B304" s="8"/>
    </row>
    <row r="305" spans="2:2">
      <c r="B305" s="8"/>
    </row>
    <row r="306" spans="2:2">
      <c r="B306" s="8"/>
    </row>
    <row r="307" spans="2:2">
      <c r="B307" s="8"/>
    </row>
    <row r="308" spans="2:2">
      <c r="B308" s="8"/>
    </row>
    <row r="309" spans="2:2">
      <c r="B309" s="8"/>
    </row>
    <row r="310" spans="2:2">
      <c r="B310" s="8"/>
    </row>
    <row r="311" spans="2:2">
      <c r="B311" s="8"/>
    </row>
    <row r="312" spans="2:2">
      <c r="B312" s="8"/>
    </row>
    <row r="313" spans="2:2">
      <c r="B313" s="8"/>
    </row>
    <row r="314" spans="2:2">
      <c r="B314" s="8"/>
    </row>
    <row r="315" spans="2:2">
      <c r="B315" s="8"/>
    </row>
    <row r="316" spans="2:2">
      <c r="B316" s="8"/>
    </row>
    <row r="317" spans="2:2">
      <c r="B317" s="8"/>
    </row>
    <row r="318" spans="2:2">
      <c r="B318" s="8"/>
    </row>
    <row r="319" spans="2:2">
      <c r="B319" s="8"/>
    </row>
    <row r="320" spans="2:2">
      <c r="B320" s="8"/>
    </row>
    <row r="321" spans="2:2">
      <c r="B321" s="8"/>
    </row>
    <row r="322" spans="2:2">
      <c r="B322" s="8"/>
    </row>
    <row r="323" spans="2:2">
      <c r="B323" s="8"/>
    </row>
    <row r="324" spans="2:2">
      <c r="B324" s="8"/>
    </row>
    <row r="325" spans="2:2">
      <c r="B325" s="8"/>
    </row>
    <row r="326" spans="2:2">
      <c r="B326" s="8"/>
    </row>
    <row r="327" spans="2:2">
      <c r="B327" s="8"/>
    </row>
    <row r="328" spans="2:2">
      <c r="B328" s="8"/>
    </row>
    <row r="329" spans="2:2">
      <c r="B329" s="8"/>
    </row>
    <row r="330" spans="2:2">
      <c r="B330" s="8"/>
    </row>
    <row r="331" spans="2:2">
      <c r="B331" s="8"/>
    </row>
    <row r="332" spans="2:2">
      <c r="B332" s="8"/>
    </row>
    <row r="333" spans="2:2">
      <c r="B333" s="8"/>
    </row>
    <row r="334" spans="2:2">
      <c r="B334" s="8"/>
    </row>
    <row r="335" spans="2:2">
      <c r="B335" s="8"/>
    </row>
    <row r="336" spans="2:2">
      <c r="B336" s="8"/>
    </row>
    <row r="337" spans="2:2">
      <c r="B337" s="8"/>
    </row>
    <row r="338" spans="2:2">
      <c r="B338" s="8"/>
    </row>
    <row r="339" spans="2:2">
      <c r="B339" s="8"/>
    </row>
    <row r="340" spans="2:2">
      <c r="B340" s="8"/>
    </row>
    <row r="341" spans="2:2">
      <c r="B341" s="8"/>
    </row>
    <row r="342" spans="2:2">
      <c r="B342" s="8"/>
    </row>
    <row r="343" spans="2:2">
      <c r="B343" s="8"/>
    </row>
    <row r="344" spans="2:2">
      <c r="B344" s="8"/>
    </row>
    <row r="345" spans="2:2">
      <c r="B345" s="8"/>
    </row>
    <row r="346" spans="2:2">
      <c r="B346" s="8"/>
    </row>
    <row r="347" spans="2:2">
      <c r="B347" s="8"/>
    </row>
    <row r="348" spans="2:2">
      <c r="B348" s="8"/>
    </row>
    <row r="349" spans="2:2">
      <c r="B349" s="8"/>
    </row>
    <row r="350" spans="2:2">
      <c r="B350" s="8"/>
    </row>
    <row r="351" spans="2:2">
      <c r="B351" s="8"/>
    </row>
    <row r="352" spans="2:2">
      <c r="B352" s="8"/>
    </row>
    <row r="353" spans="2:2">
      <c r="B353" s="8"/>
    </row>
    <row r="354" spans="2:2">
      <c r="B354" s="8"/>
    </row>
    <row r="355" spans="2:2">
      <c r="B355" s="8"/>
    </row>
    <row r="356" spans="2:2">
      <c r="B356" s="8"/>
    </row>
    <row r="357" spans="2:2">
      <c r="B357" s="8"/>
    </row>
    <row r="358" spans="2:2">
      <c r="B358" s="8"/>
    </row>
    <row r="359" spans="2:2">
      <c r="B359" s="8"/>
    </row>
    <row r="360" spans="2:2">
      <c r="B360" s="8"/>
    </row>
    <row r="361" spans="2:2">
      <c r="B361" s="8"/>
    </row>
    <row r="362" spans="2:2">
      <c r="B362" s="8"/>
    </row>
    <row r="363" spans="2:2">
      <c r="B363" s="8"/>
    </row>
    <row r="364" spans="2:2">
      <c r="B364" s="8"/>
    </row>
    <row r="365" spans="2:2">
      <c r="B365" s="8"/>
    </row>
    <row r="366" spans="2:2">
      <c r="B366" s="8"/>
    </row>
    <row r="367" spans="2:2">
      <c r="B367" s="8"/>
    </row>
    <row r="368" spans="2:2">
      <c r="B368" s="8"/>
    </row>
    <row r="369" spans="2:2">
      <c r="B369" s="8"/>
    </row>
    <row r="370" spans="2:2">
      <c r="B370" s="8"/>
    </row>
    <row r="371" spans="2:2">
      <c r="B371" s="8"/>
    </row>
    <row r="372" spans="2:2">
      <c r="B372" s="8"/>
    </row>
    <row r="373" spans="2:2">
      <c r="B373" s="8"/>
    </row>
    <row r="374" spans="2:2">
      <c r="B374" s="8"/>
    </row>
    <row r="375" spans="2:2">
      <c r="B375" s="8"/>
    </row>
    <row r="376" spans="2:2">
      <c r="B376" s="8"/>
    </row>
    <row r="377" spans="2:2">
      <c r="B377" s="8"/>
    </row>
    <row r="378" spans="2:2">
      <c r="B378" s="8"/>
    </row>
    <row r="379" spans="2:2">
      <c r="B379" s="8"/>
    </row>
    <row r="380" spans="2:2">
      <c r="B380" s="8"/>
    </row>
    <row r="381" spans="2:2">
      <c r="B381" s="8"/>
    </row>
    <row r="382" spans="2:2">
      <c r="B382" s="8"/>
    </row>
    <row r="383" spans="2:2">
      <c r="B383" s="8"/>
    </row>
    <row r="384" spans="2:2">
      <c r="B384" s="8"/>
    </row>
    <row r="385" spans="2:2">
      <c r="B385" s="8"/>
    </row>
    <row r="386" spans="2:2">
      <c r="B386" s="8"/>
    </row>
    <row r="387" spans="2:2">
      <c r="B387" s="8"/>
    </row>
    <row r="388" spans="2:2">
      <c r="B388" s="8"/>
    </row>
    <row r="389" spans="2:2">
      <c r="B389" s="8"/>
    </row>
    <row r="390" spans="2:2">
      <c r="B390" s="8"/>
    </row>
    <row r="391" spans="2:2">
      <c r="B391" s="8"/>
    </row>
    <row r="392" spans="2:2">
      <c r="B392" s="8"/>
    </row>
    <row r="393" spans="2:2">
      <c r="B393" s="8"/>
    </row>
    <row r="394" spans="2:2">
      <c r="B394" s="8"/>
    </row>
    <row r="395" spans="2:2">
      <c r="B395" s="8"/>
    </row>
    <row r="396" spans="2:2">
      <c r="B396" s="8"/>
    </row>
    <row r="397" spans="2:2">
      <c r="B397" s="8"/>
    </row>
    <row r="398" spans="2:2">
      <c r="B398" s="8"/>
    </row>
    <row r="399" spans="2:2">
      <c r="B399" s="8"/>
    </row>
    <row r="400" spans="2:2">
      <c r="B400" s="8"/>
    </row>
    <row r="401" spans="2:2">
      <c r="B401" s="8"/>
    </row>
    <row r="402" spans="2:2">
      <c r="B402" s="8"/>
    </row>
    <row r="403" spans="2:2">
      <c r="B403" s="8"/>
    </row>
    <row r="404" spans="2:2">
      <c r="B404" s="8"/>
    </row>
    <row r="405" spans="2:2">
      <c r="B405" s="8"/>
    </row>
    <row r="406" spans="2:2">
      <c r="B406" s="8"/>
    </row>
    <row r="407" spans="2:2">
      <c r="B407" s="8"/>
    </row>
    <row r="408" spans="2:2">
      <c r="B408" s="8"/>
    </row>
    <row r="409" spans="2:2">
      <c r="B409" s="8"/>
    </row>
    <row r="410" spans="2:2">
      <c r="B410" s="8"/>
    </row>
    <row r="411" spans="2:2">
      <c r="B411" s="8"/>
    </row>
    <row r="412" spans="2:2">
      <c r="B412" s="8"/>
    </row>
    <row r="413" spans="2:2">
      <c r="B413" s="8"/>
    </row>
    <row r="414" spans="2:2">
      <c r="B414" s="8"/>
    </row>
    <row r="415" spans="2:2">
      <c r="B415" s="8"/>
    </row>
    <row r="416" spans="2:2">
      <c r="B416" s="8"/>
    </row>
    <row r="417" spans="2:2">
      <c r="B417" s="8"/>
    </row>
    <row r="418" spans="2:2">
      <c r="B418" s="8"/>
    </row>
    <row r="419" spans="2:2">
      <c r="B419" s="8"/>
    </row>
    <row r="420" spans="2:2">
      <c r="B420" s="8"/>
    </row>
    <row r="421" spans="2:2">
      <c r="B421" s="8"/>
    </row>
    <row r="422" spans="2:2">
      <c r="B422" s="8"/>
    </row>
    <row r="423" spans="2:2">
      <c r="B423" s="8"/>
    </row>
    <row r="424" spans="2:2">
      <c r="B424" s="8"/>
    </row>
    <row r="425" spans="2:2">
      <c r="B425" s="8"/>
    </row>
    <row r="426" spans="2:2">
      <c r="B426" s="8"/>
    </row>
    <row r="427" spans="2:2">
      <c r="B427" s="8"/>
    </row>
    <row r="428" spans="2:2">
      <c r="B428" s="8"/>
    </row>
    <row r="429" spans="2:2">
      <c r="B429" s="8"/>
    </row>
    <row r="430" spans="2:2">
      <c r="B430" s="8"/>
    </row>
    <row r="431" spans="2:2">
      <c r="B431" s="8"/>
    </row>
    <row r="432" spans="2:2">
      <c r="B432" s="8"/>
    </row>
    <row r="433" spans="2:2">
      <c r="B433" s="8"/>
    </row>
    <row r="434" spans="2:2">
      <c r="B434" s="8"/>
    </row>
    <row r="435" spans="2:2">
      <c r="B435" s="8"/>
    </row>
    <row r="436" spans="2:2">
      <c r="B436" s="8"/>
    </row>
    <row r="437" spans="2:2">
      <c r="B437" s="8"/>
    </row>
    <row r="438" spans="2:2">
      <c r="B438" s="8"/>
    </row>
    <row r="439" spans="2:2">
      <c r="B439" s="8"/>
    </row>
    <row r="440" spans="2:2">
      <c r="B440" s="8"/>
    </row>
    <row r="441" spans="2:2">
      <c r="B441" s="8"/>
    </row>
    <row r="442" spans="2:2">
      <c r="B442" s="8"/>
    </row>
    <row r="443" spans="2:2">
      <c r="B443" s="8"/>
    </row>
    <row r="444" spans="2:2">
      <c r="B444" s="8"/>
    </row>
    <row r="445" spans="2:2">
      <c r="B445" s="8"/>
    </row>
    <row r="446" spans="2:2">
      <c r="B446" s="8"/>
    </row>
    <row r="447" spans="2:2">
      <c r="B447" s="8"/>
    </row>
    <row r="448" spans="2:2">
      <c r="B448" s="8"/>
    </row>
    <row r="449" spans="2:2">
      <c r="B449" s="8"/>
    </row>
    <row r="450" spans="2:2">
      <c r="B450" s="8"/>
    </row>
    <row r="451" spans="2:2">
      <c r="B451" s="8"/>
    </row>
    <row r="452" spans="2:2">
      <c r="B452" s="8"/>
    </row>
  </sheetData>
  <mergeCells count="6">
    <mergeCell ref="D229:E229"/>
    <mergeCell ref="D230:E230"/>
    <mergeCell ref="B2:H2"/>
    <mergeCell ref="A6:B6"/>
    <mergeCell ref="F229:H229"/>
    <mergeCell ref="F230:H230"/>
  </mergeCells>
  <pageMargins left="0.39370078740157483" right="0.39370078740157483" top="0.78740157480314965" bottom="0.39370078740157483" header="0.31496062992125984" footer="0.31496062992125984"/>
  <pageSetup paperSize="9" scale="65" orientation="landscape" r:id="rId1"/>
  <rowBreaks count="2" manualBreakCount="2">
    <brk id="50" max="7" man="1"/>
    <brk id="122" max="7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3"/>
    <pageSetUpPr fitToPage="1"/>
  </sheetPr>
  <dimension ref="A1:M354"/>
  <sheetViews>
    <sheetView view="pageBreakPreview" zoomScale="60" workbookViewId="0">
      <selection activeCell="L6" sqref="L6"/>
    </sheetView>
  </sheetViews>
  <sheetFormatPr defaultRowHeight="18.75"/>
  <cols>
    <col min="1" max="1" width="60.28515625" style="221" customWidth="1"/>
    <col min="2" max="2" width="13.140625" style="220" customWidth="1"/>
    <col min="3" max="3" width="16.140625" style="220" customWidth="1"/>
    <col min="4" max="4" width="16.7109375" style="220" customWidth="1"/>
    <col min="5" max="5" width="16.140625" style="220" customWidth="1"/>
    <col min="6" max="6" width="16" style="220" customWidth="1"/>
    <col min="7" max="7" width="16.42578125" style="114" customWidth="1"/>
    <col min="8" max="8" width="18" style="2" bestFit="1" customWidth="1"/>
    <col min="9" max="10" width="9.140625" style="2"/>
    <col min="11" max="11" width="10.85546875" style="2" bestFit="1" customWidth="1"/>
    <col min="12" max="12" width="21.140625" style="2" customWidth="1"/>
    <col min="13" max="16384" width="9.140625" style="2"/>
  </cols>
  <sheetData>
    <row r="1" spans="1:8" s="111" customFormat="1" ht="27.75" customHeight="1">
      <c r="A1" s="249" t="s">
        <v>103</v>
      </c>
      <c r="B1" s="249"/>
      <c r="C1" s="249"/>
      <c r="D1" s="249"/>
      <c r="E1" s="249"/>
      <c r="F1" s="249"/>
      <c r="G1" s="112"/>
    </row>
    <row r="2" spans="1:8" ht="19.5" customHeight="1">
      <c r="A2" s="193"/>
      <c r="B2" s="170" t="s">
        <v>334</v>
      </c>
      <c r="C2" s="226"/>
      <c r="D2" s="226"/>
      <c r="E2" s="226"/>
      <c r="F2" s="3"/>
      <c r="G2" s="113" t="s">
        <v>65</v>
      </c>
    </row>
    <row r="3" spans="1:8" ht="64.5" customHeight="1">
      <c r="A3" s="194" t="s">
        <v>23</v>
      </c>
      <c r="B3" s="11" t="s">
        <v>5</v>
      </c>
      <c r="C3" s="11" t="s">
        <v>307</v>
      </c>
      <c r="D3" s="11" t="s">
        <v>314</v>
      </c>
      <c r="E3" s="11" t="s">
        <v>309</v>
      </c>
      <c r="F3" s="108" t="s">
        <v>113</v>
      </c>
      <c r="G3" s="45" t="s">
        <v>114</v>
      </c>
    </row>
    <row r="4" spans="1:8" ht="24.75" customHeight="1">
      <c r="A4" s="4">
        <v>1</v>
      </c>
      <c r="B4" s="11">
        <v>2</v>
      </c>
      <c r="C4" s="11">
        <v>3</v>
      </c>
      <c r="D4" s="11">
        <v>4</v>
      </c>
      <c r="E4" s="11">
        <v>5</v>
      </c>
      <c r="F4" s="11">
        <v>6</v>
      </c>
      <c r="G4" s="16">
        <v>7</v>
      </c>
    </row>
    <row r="5" spans="1:8" ht="44.25" customHeight="1">
      <c r="A5" s="223" t="s">
        <v>13</v>
      </c>
      <c r="B5" s="224">
        <v>4000</v>
      </c>
      <c r="C5" s="14">
        <f>C6+C36+C127</f>
        <v>2742.7000000000003</v>
      </c>
      <c r="D5" s="14">
        <f>D6+D36+D127+D124</f>
        <v>4405.3999999999996</v>
      </c>
      <c r="E5" s="14">
        <f>E6+E36+E127+E124</f>
        <v>17862.8</v>
      </c>
      <c r="F5" s="14">
        <f>E5-D5</f>
        <v>13457.4</v>
      </c>
      <c r="G5" s="173">
        <f>(E5/D5)*100</f>
        <v>405.47509874245247</v>
      </c>
      <c r="H5" s="20"/>
    </row>
    <row r="6" spans="1:8" ht="27.75" customHeight="1">
      <c r="A6" s="74" t="s">
        <v>0</v>
      </c>
      <c r="B6" s="70">
        <v>4020</v>
      </c>
      <c r="C6" s="42">
        <f>SUM(C7:C35)</f>
        <v>2044.8000000000002</v>
      </c>
      <c r="D6" s="42">
        <f>SUM(D7:D35)</f>
        <v>1816.2</v>
      </c>
      <c r="E6" s="42">
        <f>SUM(E7:E35)</f>
        <v>7034.0999999999985</v>
      </c>
      <c r="F6" s="42">
        <f>E6-D6</f>
        <v>5217.8999999999987</v>
      </c>
      <c r="G6" s="285">
        <f>(E6/D6)*100</f>
        <v>387.29765444334316</v>
      </c>
    </row>
    <row r="7" spans="1:8" ht="26.25" customHeight="1">
      <c r="A7" s="228" t="s">
        <v>259</v>
      </c>
      <c r="B7" s="11"/>
      <c r="C7" s="84"/>
      <c r="D7" s="18">
        <v>1700</v>
      </c>
      <c r="E7" s="18"/>
      <c r="F7" s="18">
        <f t="shared" ref="F7:F70" si="0">E7-D7</f>
        <v>-1700</v>
      </c>
      <c r="G7" s="196">
        <f t="shared" ref="G7:G70" si="1">(E7/D7)*100</f>
        <v>0</v>
      </c>
    </row>
    <row r="8" spans="1:8" ht="23.25" customHeight="1">
      <c r="A8" s="194" t="s">
        <v>324</v>
      </c>
      <c r="B8" s="70"/>
      <c r="C8" s="18">
        <v>40</v>
      </c>
      <c r="D8" s="42"/>
      <c r="E8" s="42"/>
      <c r="F8" s="14">
        <f t="shared" si="0"/>
        <v>0</v>
      </c>
      <c r="G8" s="196" t="e">
        <f t="shared" si="1"/>
        <v>#DIV/0!</v>
      </c>
    </row>
    <row r="9" spans="1:8" ht="25.5" customHeight="1">
      <c r="A9" s="194" t="s">
        <v>325</v>
      </c>
      <c r="B9" s="70"/>
      <c r="C9" s="50">
        <v>30.5</v>
      </c>
      <c r="D9" s="42"/>
      <c r="E9" s="42"/>
      <c r="F9" s="14">
        <f t="shared" si="0"/>
        <v>0</v>
      </c>
      <c r="G9" s="196" t="e">
        <f t="shared" si="1"/>
        <v>#DIV/0!</v>
      </c>
    </row>
    <row r="10" spans="1:8" ht="39.75" customHeight="1">
      <c r="A10" s="228" t="s">
        <v>326</v>
      </c>
      <c r="B10" s="70"/>
      <c r="C10" s="18">
        <v>258.5</v>
      </c>
      <c r="D10" s="42"/>
      <c r="E10" s="42"/>
      <c r="F10" s="14">
        <f t="shared" si="0"/>
        <v>0</v>
      </c>
      <c r="G10" s="196" t="e">
        <f t="shared" si="1"/>
        <v>#DIV/0!</v>
      </c>
    </row>
    <row r="11" spans="1:8" ht="25.5" customHeight="1">
      <c r="A11" s="228" t="s">
        <v>327</v>
      </c>
      <c r="B11" s="70"/>
      <c r="C11" s="18">
        <v>42.1</v>
      </c>
      <c r="D11" s="42"/>
      <c r="E11" s="42"/>
      <c r="F11" s="14">
        <f t="shared" si="0"/>
        <v>0</v>
      </c>
      <c r="G11" s="196" t="e">
        <f t="shared" si="1"/>
        <v>#DIV/0!</v>
      </c>
    </row>
    <row r="12" spans="1:8" ht="41.25" customHeight="1">
      <c r="A12" s="228" t="s">
        <v>328</v>
      </c>
      <c r="B12" s="70"/>
      <c r="C12" s="18">
        <v>191.8</v>
      </c>
      <c r="D12" s="42"/>
      <c r="E12" s="42"/>
      <c r="F12" s="14">
        <f t="shared" si="0"/>
        <v>0</v>
      </c>
      <c r="G12" s="196" t="e">
        <f t="shared" si="1"/>
        <v>#DIV/0!</v>
      </c>
    </row>
    <row r="13" spans="1:8" ht="29.25" customHeight="1">
      <c r="A13" s="228" t="s">
        <v>329</v>
      </c>
      <c r="B13" s="109"/>
      <c r="C13" s="18">
        <v>240</v>
      </c>
      <c r="D13" s="42"/>
      <c r="E13" s="18"/>
      <c r="F13" s="14">
        <f t="shared" si="0"/>
        <v>0</v>
      </c>
      <c r="G13" s="196" t="e">
        <f t="shared" si="1"/>
        <v>#DIV/0!</v>
      </c>
    </row>
    <row r="14" spans="1:8" ht="27.75" customHeight="1">
      <c r="A14" s="228" t="s">
        <v>330</v>
      </c>
      <c r="B14" s="109"/>
      <c r="C14" s="18">
        <v>25.6</v>
      </c>
      <c r="D14" s="42"/>
      <c r="E14" s="18"/>
      <c r="F14" s="14">
        <f t="shared" si="0"/>
        <v>0</v>
      </c>
      <c r="G14" s="196" t="e">
        <f t="shared" si="1"/>
        <v>#DIV/0!</v>
      </c>
    </row>
    <row r="15" spans="1:8" ht="24" customHeight="1">
      <c r="A15" s="228" t="s">
        <v>331</v>
      </c>
      <c r="B15" s="109"/>
      <c r="C15" s="18">
        <v>385.2</v>
      </c>
      <c r="D15" s="42"/>
      <c r="E15" s="18"/>
      <c r="F15" s="14">
        <f t="shared" si="0"/>
        <v>0</v>
      </c>
      <c r="G15" s="196" t="e">
        <f t="shared" si="1"/>
        <v>#DIV/0!</v>
      </c>
    </row>
    <row r="16" spans="1:8" ht="27.75" customHeight="1">
      <c r="A16" s="228" t="s">
        <v>332</v>
      </c>
      <c r="B16" s="109"/>
      <c r="C16" s="18">
        <v>237.7</v>
      </c>
      <c r="D16" s="42"/>
      <c r="E16" s="18"/>
      <c r="F16" s="14">
        <f t="shared" si="0"/>
        <v>0</v>
      </c>
      <c r="G16" s="196" t="e">
        <f t="shared" si="1"/>
        <v>#DIV/0!</v>
      </c>
    </row>
    <row r="17" spans="1:7" ht="44.25" customHeight="1">
      <c r="A17" s="228" t="s">
        <v>333</v>
      </c>
      <c r="B17" s="109"/>
      <c r="C17" s="18">
        <v>593.4</v>
      </c>
      <c r="D17" s="42"/>
      <c r="E17" s="18"/>
      <c r="F17" s="14">
        <f t="shared" si="0"/>
        <v>0</v>
      </c>
      <c r="G17" s="196" t="e">
        <f t="shared" si="1"/>
        <v>#DIV/0!</v>
      </c>
    </row>
    <row r="18" spans="1:7" ht="41.25" customHeight="1">
      <c r="A18" s="228" t="s">
        <v>395</v>
      </c>
      <c r="B18" s="109"/>
      <c r="C18" s="18"/>
      <c r="D18" s="42"/>
      <c r="E18" s="18">
        <v>29.9</v>
      </c>
      <c r="F18" s="18">
        <f t="shared" si="0"/>
        <v>29.9</v>
      </c>
      <c r="G18" s="196" t="e">
        <f t="shared" si="1"/>
        <v>#DIV/0!</v>
      </c>
    </row>
    <row r="19" spans="1:7" ht="30" customHeight="1">
      <c r="A19" s="228" t="s">
        <v>396</v>
      </c>
      <c r="B19" s="109"/>
      <c r="C19" s="18"/>
      <c r="D19" s="42"/>
      <c r="E19" s="18">
        <v>195</v>
      </c>
      <c r="F19" s="18">
        <f t="shared" si="0"/>
        <v>195</v>
      </c>
      <c r="G19" s="196" t="e">
        <f t="shared" si="1"/>
        <v>#DIV/0!</v>
      </c>
    </row>
    <row r="20" spans="1:7" ht="42.75" customHeight="1">
      <c r="A20" s="228" t="s">
        <v>397</v>
      </c>
      <c r="B20" s="109"/>
      <c r="C20" s="18"/>
      <c r="D20" s="42"/>
      <c r="E20" s="18">
        <v>250.5</v>
      </c>
      <c r="F20" s="18">
        <f t="shared" si="0"/>
        <v>250.5</v>
      </c>
      <c r="G20" s="196" t="e">
        <f t="shared" si="1"/>
        <v>#DIV/0!</v>
      </c>
    </row>
    <row r="21" spans="1:7" ht="29.25" customHeight="1">
      <c r="A21" s="228" t="s">
        <v>398</v>
      </c>
      <c r="B21" s="109"/>
      <c r="C21" s="18"/>
      <c r="D21" s="42"/>
      <c r="E21" s="18">
        <v>42.1</v>
      </c>
      <c r="F21" s="18">
        <f t="shared" si="0"/>
        <v>42.1</v>
      </c>
      <c r="G21" s="196" t="e">
        <f t="shared" si="1"/>
        <v>#DIV/0!</v>
      </c>
    </row>
    <row r="22" spans="1:7" ht="24" customHeight="1">
      <c r="A22" s="228" t="s">
        <v>399</v>
      </c>
      <c r="B22" s="109"/>
      <c r="C22" s="18"/>
      <c r="D22" s="42"/>
      <c r="E22" s="18">
        <v>32.9</v>
      </c>
      <c r="F22" s="18">
        <f t="shared" si="0"/>
        <v>32.9</v>
      </c>
      <c r="G22" s="196" t="e">
        <f t="shared" si="1"/>
        <v>#DIV/0!</v>
      </c>
    </row>
    <row r="23" spans="1:7" ht="30" customHeight="1">
      <c r="A23" s="228" t="s">
        <v>400</v>
      </c>
      <c r="B23" s="109"/>
      <c r="C23" s="18"/>
      <c r="D23" s="42"/>
      <c r="E23" s="18">
        <v>48.7</v>
      </c>
      <c r="F23" s="18">
        <f t="shared" si="0"/>
        <v>48.7</v>
      </c>
      <c r="G23" s="196" t="e">
        <f t="shared" si="1"/>
        <v>#DIV/0!</v>
      </c>
    </row>
    <row r="24" spans="1:7" ht="56.25" customHeight="1">
      <c r="A24" s="228" t="s">
        <v>401</v>
      </c>
      <c r="B24" s="109"/>
      <c r="C24" s="18"/>
      <c r="D24" s="42"/>
      <c r="E24" s="18">
        <v>1621.6</v>
      </c>
      <c r="F24" s="18">
        <f t="shared" si="0"/>
        <v>1621.6</v>
      </c>
      <c r="G24" s="196" t="e">
        <f t="shared" si="1"/>
        <v>#DIV/0!</v>
      </c>
    </row>
    <row r="25" spans="1:7" ht="56.25" customHeight="1">
      <c r="A25" s="228" t="s">
        <v>402</v>
      </c>
      <c r="B25" s="109"/>
      <c r="C25" s="18"/>
      <c r="D25" s="42"/>
      <c r="E25" s="18">
        <v>1666</v>
      </c>
      <c r="F25" s="18">
        <f t="shared" si="0"/>
        <v>1666</v>
      </c>
      <c r="G25" s="196" t="e">
        <f t="shared" si="1"/>
        <v>#DIV/0!</v>
      </c>
    </row>
    <row r="26" spans="1:7" ht="49.5" customHeight="1">
      <c r="A26" s="228" t="s">
        <v>403</v>
      </c>
      <c r="B26" s="109"/>
      <c r="C26" s="18"/>
      <c r="D26" s="42"/>
      <c r="E26" s="18">
        <v>331</v>
      </c>
      <c r="F26" s="18">
        <f t="shared" si="0"/>
        <v>331</v>
      </c>
      <c r="G26" s="196" t="e">
        <f t="shared" si="1"/>
        <v>#DIV/0!</v>
      </c>
    </row>
    <row r="27" spans="1:7" ht="49.5" customHeight="1">
      <c r="A27" s="228" t="s">
        <v>404</v>
      </c>
      <c r="B27" s="109"/>
      <c r="C27" s="18"/>
      <c r="D27" s="42"/>
      <c r="E27" s="18">
        <v>49.1</v>
      </c>
      <c r="F27" s="18">
        <f t="shared" si="0"/>
        <v>49.1</v>
      </c>
      <c r="G27" s="196" t="e">
        <f t="shared" si="1"/>
        <v>#DIV/0!</v>
      </c>
    </row>
    <row r="28" spans="1:7" ht="30" customHeight="1">
      <c r="A28" s="228" t="s">
        <v>405</v>
      </c>
      <c r="B28" s="109"/>
      <c r="C28" s="18"/>
      <c r="D28" s="42"/>
      <c r="E28" s="18">
        <v>56.4</v>
      </c>
      <c r="F28" s="18">
        <f t="shared" si="0"/>
        <v>56.4</v>
      </c>
      <c r="G28" s="196" t="e">
        <f t="shared" si="1"/>
        <v>#DIV/0!</v>
      </c>
    </row>
    <row r="29" spans="1:7" ht="28.5" customHeight="1">
      <c r="A29" s="228" t="s">
        <v>406</v>
      </c>
      <c r="B29" s="109"/>
      <c r="C29" s="18"/>
      <c r="D29" s="18">
        <v>75</v>
      </c>
      <c r="E29" s="18">
        <v>75</v>
      </c>
      <c r="F29" s="18">
        <f t="shared" si="0"/>
        <v>0</v>
      </c>
      <c r="G29" s="196">
        <f t="shared" si="1"/>
        <v>100</v>
      </c>
    </row>
    <row r="30" spans="1:7" ht="31.5" customHeight="1">
      <c r="A30" s="228" t="s">
        <v>407</v>
      </c>
      <c r="B30" s="109"/>
      <c r="C30" s="18"/>
      <c r="D30" s="18">
        <v>41.2</v>
      </c>
      <c r="E30" s="18">
        <v>41.2</v>
      </c>
      <c r="F30" s="18">
        <f t="shared" si="0"/>
        <v>0</v>
      </c>
      <c r="G30" s="196">
        <f t="shared" si="1"/>
        <v>100</v>
      </c>
    </row>
    <row r="31" spans="1:7" ht="30.75" customHeight="1">
      <c r="A31" s="228" t="s">
        <v>459</v>
      </c>
      <c r="B31" s="109"/>
      <c r="C31" s="18"/>
      <c r="D31" s="42"/>
      <c r="E31" s="18">
        <v>1700</v>
      </c>
      <c r="F31" s="18">
        <f t="shared" si="0"/>
        <v>1700</v>
      </c>
      <c r="G31" s="196" t="e">
        <f t="shared" si="1"/>
        <v>#DIV/0!</v>
      </c>
    </row>
    <row r="32" spans="1:7" ht="50.25" customHeight="1">
      <c r="A32" s="228" t="s">
        <v>409</v>
      </c>
      <c r="B32" s="109"/>
      <c r="C32" s="18"/>
      <c r="D32" s="42"/>
      <c r="E32" s="18">
        <v>35.4</v>
      </c>
      <c r="F32" s="18">
        <f t="shared" si="0"/>
        <v>35.4</v>
      </c>
      <c r="G32" s="196" t="e">
        <f t="shared" si="1"/>
        <v>#DIV/0!</v>
      </c>
    </row>
    <row r="33" spans="1:8" ht="33" customHeight="1">
      <c r="A33" s="228" t="s">
        <v>410</v>
      </c>
      <c r="B33" s="109"/>
      <c r="C33" s="18"/>
      <c r="D33" s="42"/>
      <c r="E33" s="18">
        <v>780</v>
      </c>
      <c r="F33" s="18">
        <f t="shared" si="0"/>
        <v>780</v>
      </c>
      <c r="G33" s="196" t="e">
        <f t="shared" si="1"/>
        <v>#DIV/0!</v>
      </c>
    </row>
    <row r="34" spans="1:8" ht="33" customHeight="1">
      <c r="A34" s="228" t="s">
        <v>411</v>
      </c>
      <c r="B34" s="109"/>
      <c r="C34" s="18"/>
      <c r="D34" s="42"/>
      <c r="E34" s="18">
        <v>34.4</v>
      </c>
      <c r="F34" s="18">
        <f t="shared" si="0"/>
        <v>34.4</v>
      </c>
      <c r="G34" s="196" t="e">
        <f t="shared" si="1"/>
        <v>#DIV/0!</v>
      </c>
    </row>
    <row r="35" spans="1:8" ht="48.75" customHeight="1">
      <c r="A35" s="228" t="s">
        <v>412</v>
      </c>
      <c r="B35" s="109"/>
      <c r="C35" s="18"/>
      <c r="D35" s="42"/>
      <c r="E35" s="18">
        <v>44.9</v>
      </c>
      <c r="F35" s="18">
        <f t="shared" si="0"/>
        <v>44.9</v>
      </c>
      <c r="G35" s="196" t="e">
        <f t="shared" si="1"/>
        <v>#DIV/0!</v>
      </c>
    </row>
    <row r="36" spans="1:8" s="5" customFormat="1" ht="44.25" customHeight="1">
      <c r="A36" s="74" t="s">
        <v>7</v>
      </c>
      <c r="B36" s="109">
        <v>4030</v>
      </c>
      <c r="C36" s="42">
        <f>SUM(C37:C123)</f>
        <v>453.90000000000003</v>
      </c>
      <c r="D36" s="42">
        <f>SUM(D37:D123)</f>
        <v>0</v>
      </c>
      <c r="E36" s="42">
        <f>SUM(E37:E123)</f>
        <v>218.70000000000002</v>
      </c>
      <c r="F36" s="14">
        <f t="shared" si="0"/>
        <v>218.70000000000002</v>
      </c>
      <c r="G36" s="197" t="e">
        <f t="shared" si="1"/>
        <v>#DIV/0!</v>
      </c>
      <c r="H36" s="28"/>
    </row>
    <row r="37" spans="1:8" s="5" customFormat="1" ht="30.75" customHeight="1">
      <c r="A37" s="228" t="s">
        <v>218</v>
      </c>
      <c r="B37" s="109"/>
      <c r="C37" s="18">
        <v>1.6</v>
      </c>
      <c r="D37" s="42"/>
      <c r="E37" s="18"/>
      <c r="F37" s="14">
        <f t="shared" si="0"/>
        <v>0</v>
      </c>
      <c r="G37" s="197" t="e">
        <f t="shared" si="1"/>
        <v>#DIV/0!</v>
      </c>
      <c r="H37" s="28"/>
    </row>
    <row r="38" spans="1:8" s="5" customFormat="1" ht="30" customHeight="1">
      <c r="A38" s="228" t="s">
        <v>260</v>
      </c>
      <c r="B38" s="109"/>
      <c r="C38" s="18">
        <v>2.2000000000000002</v>
      </c>
      <c r="D38" s="42"/>
      <c r="E38" s="18"/>
      <c r="F38" s="14">
        <f t="shared" si="0"/>
        <v>0</v>
      </c>
      <c r="G38" s="197" t="e">
        <f t="shared" si="1"/>
        <v>#DIV/0!</v>
      </c>
      <c r="H38" s="28"/>
    </row>
    <row r="39" spans="1:8" s="5" customFormat="1" ht="38.25" customHeight="1">
      <c r="A39" s="228" t="s">
        <v>261</v>
      </c>
      <c r="B39" s="109"/>
      <c r="C39" s="18">
        <v>2</v>
      </c>
      <c r="D39" s="42"/>
      <c r="E39" s="18"/>
      <c r="F39" s="14">
        <f t="shared" si="0"/>
        <v>0</v>
      </c>
      <c r="G39" s="197" t="e">
        <f t="shared" si="1"/>
        <v>#DIV/0!</v>
      </c>
      <c r="H39" s="28"/>
    </row>
    <row r="40" spans="1:8" s="5" customFormat="1" ht="28.5" customHeight="1">
      <c r="A40" s="228" t="s">
        <v>262</v>
      </c>
      <c r="B40" s="109"/>
      <c r="C40" s="18">
        <v>1</v>
      </c>
      <c r="D40" s="42"/>
      <c r="E40" s="18"/>
      <c r="F40" s="14">
        <f t="shared" si="0"/>
        <v>0</v>
      </c>
      <c r="G40" s="197" t="e">
        <f t="shared" si="1"/>
        <v>#DIV/0!</v>
      </c>
      <c r="H40" s="28"/>
    </row>
    <row r="41" spans="1:8" s="5" customFormat="1" ht="30" customHeight="1">
      <c r="A41" s="228" t="s">
        <v>263</v>
      </c>
      <c r="B41" s="109"/>
      <c r="C41" s="18">
        <v>0.6</v>
      </c>
      <c r="D41" s="42"/>
      <c r="E41" s="18"/>
      <c r="F41" s="14">
        <f t="shared" si="0"/>
        <v>0</v>
      </c>
      <c r="G41" s="197" t="e">
        <f t="shared" si="1"/>
        <v>#DIV/0!</v>
      </c>
      <c r="H41" s="28"/>
    </row>
    <row r="42" spans="1:8" s="5" customFormat="1" ht="26.25" customHeight="1">
      <c r="A42" s="228" t="s">
        <v>264</v>
      </c>
      <c r="B42" s="109"/>
      <c r="C42" s="18">
        <v>5</v>
      </c>
      <c r="D42" s="42"/>
      <c r="E42" s="18"/>
      <c r="F42" s="14">
        <f t="shared" si="0"/>
        <v>0</v>
      </c>
      <c r="G42" s="197" t="e">
        <f t="shared" si="1"/>
        <v>#DIV/0!</v>
      </c>
      <c r="H42" s="28"/>
    </row>
    <row r="43" spans="1:8" s="5" customFormat="1" ht="38.25" customHeight="1">
      <c r="A43" s="228" t="s">
        <v>265</v>
      </c>
      <c r="B43" s="109"/>
      <c r="C43" s="18">
        <v>5.5</v>
      </c>
      <c r="D43" s="42"/>
      <c r="E43" s="18"/>
      <c r="F43" s="14">
        <f t="shared" si="0"/>
        <v>0</v>
      </c>
      <c r="G43" s="197" t="e">
        <f t="shared" si="1"/>
        <v>#DIV/0!</v>
      </c>
      <c r="H43" s="28"/>
    </row>
    <row r="44" spans="1:8" s="5" customFormat="1" ht="38.25" customHeight="1">
      <c r="A44" s="228" t="s">
        <v>266</v>
      </c>
      <c r="B44" s="109"/>
      <c r="C44" s="18">
        <v>5.7</v>
      </c>
      <c r="D44" s="42"/>
      <c r="E44" s="18"/>
      <c r="F44" s="14">
        <f t="shared" si="0"/>
        <v>0</v>
      </c>
      <c r="G44" s="197" t="e">
        <f t="shared" si="1"/>
        <v>#DIV/0!</v>
      </c>
      <c r="H44" s="28"/>
    </row>
    <row r="45" spans="1:8" s="5" customFormat="1" ht="44.25" customHeight="1">
      <c r="A45" s="228" t="s">
        <v>267</v>
      </c>
      <c r="B45" s="109"/>
      <c r="C45" s="18">
        <v>2.5</v>
      </c>
      <c r="D45" s="42"/>
      <c r="E45" s="18"/>
      <c r="F45" s="14">
        <f t="shared" si="0"/>
        <v>0</v>
      </c>
      <c r="G45" s="197" t="e">
        <f t="shared" si="1"/>
        <v>#DIV/0!</v>
      </c>
      <c r="H45" s="28"/>
    </row>
    <row r="46" spans="1:8" s="5" customFormat="1" ht="44.25" customHeight="1">
      <c r="A46" s="228" t="s">
        <v>268</v>
      </c>
      <c r="B46" s="109"/>
      <c r="C46" s="18">
        <v>0.9</v>
      </c>
      <c r="D46" s="42"/>
      <c r="E46" s="18"/>
      <c r="F46" s="14">
        <f t="shared" si="0"/>
        <v>0</v>
      </c>
      <c r="G46" s="197" t="e">
        <f t="shared" si="1"/>
        <v>#DIV/0!</v>
      </c>
      <c r="H46" s="28"/>
    </row>
    <row r="47" spans="1:8" s="5" customFormat="1" ht="37.5" customHeight="1">
      <c r="A47" s="228" t="s">
        <v>269</v>
      </c>
      <c r="B47" s="109"/>
      <c r="C47" s="18">
        <v>1.3</v>
      </c>
      <c r="D47" s="42"/>
      <c r="E47" s="18"/>
      <c r="F47" s="14">
        <f t="shared" si="0"/>
        <v>0</v>
      </c>
      <c r="G47" s="197" t="e">
        <f t="shared" si="1"/>
        <v>#DIV/0!</v>
      </c>
      <c r="H47" s="28"/>
    </row>
    <row r="48" spans="1:8" s="5" customFormat="1" ht="27.75" customHeight="1">
      <c r="A48" s="228" t="s">
        <v>270</v>
      </c>
      <c r="B48" s="109"/>
      <c r="C48" s="18">
        <v>0.5</v>
      </c>
      <c r="D48" s="42"/>
      <c r="E48" s="18"/>
      <c r="F48" s="14">
        <f t="shared" si="0"/>
        <v>0</v>
      </c>
      <c r="G48" s="197" t="e">
        <f t="shared" si="1"/>
        <v>#DIV/0!</v>
      </c>
      <c r="H48" s="28"/>
    </row>
    <row r="49" spans="1:8" s="5" customFormat="1" ht="38.25" customHeight="1">
      <c r="A49" s="228" t="s">
        <v>271</v>
      </c>
      <c r="B49" s="109"/>
      <c r="C49" s="18">
        <v>1.8</v>
      </c>
      <c r="D49" s="42"/>
      <c r="E49" s="18"/>
      <c r="F49" s="14">
        <f t="shared" si="0"/>
        <v>0</v>
      </c>
      <c r="G49" s="197" t="e">
        <f t="shared" si="1"/>
        <v>#DIV/0!</v>
      </c>
      <c r="H49" s="28"/>
    </row>
    <row r="50" spans="1:8" s="5" customFormat="1" ht="29.25" customHeight="1">
      <c r="A50" s="228" t="s">
        <v>272</v>
      </c>
      <c r="B50" s="109"/>
      <c r="C50" s="18">
        <v>7.2</v>
      </c>
      <c r="D50" s="42"/>
      <c r="E50" s="18"/>
      <c r="F50" s="14">
        <f t="shared" si="0"/>
        <v>0</v>
      </c>
      <c r="G50" s="197" t="e">
        <f t="shared" si="1"/>
        <v>#DIV/0!</v>
      </c>
      <c r="H50" s="28"/>
    </row>
    <row r="51" spans="1:8" s="5" customFormat="1" ht="28.5" customHeight="1">
      <c r="A51" s="228" t="s">
        <v>273</v>
      </c>
      <c r="B51" s="109"/>
      <c r="C51" s="18">
        <v>16.5</v>
      </c>
      <c r="D51" s="42"/>
      <c r="E51" s="18"/>
      <c r="F51" s="14">
        <f t="shared" si="0"/>
        <v>0</v>
      </c>
      <c r="G51" s="197" t="e">
        <f t="shared" si="1"/>
        <v>#DIV/0!</v>
      </c>
      <c r="H51" s="28"/>
    </row>
    <row r="52" spans="1:8" s="5" customFormat="1" ht="27.75" customHeight="1">
      <c r="A52" s="228" t="s">
        <v>274</v>
      </c>
      <c r="B52" s="109"/>
      <c r="C52" s="18">
        <v>18.899999999999999</v>
      </c>
      <c r="D52" s="42"/>
      <c r="E52" s="18"/>
      <c r="F52" s="14">
        <f t="shared" si="0"/>
        <v>0</v>
      </c>
      <c r="G52" s="197" t="e">
        <f t="shared" si="1"/>
        <v>#DIV/0!</v>
      </c>
      <c r="H52" s="28"/>
    </row>
    <row r="53" spans="1:8" s="5" customFormat="1" ht="27" customHeight="1">
      <c r="A53" s="228" t="s">
        <v>275</v>
      </c>
      <c r="B53" s="109"/>
      <c r="C53" s="18">
        <v>29.8</v>
      </c>
      <c r="D53" s="42"/>
      <c r="E53" s="18"/>
      <c r="F53" s="14">
        <f t="shared" si="0"/>
        <v>0</v>
      </c>
      <c r="G53" s="197" t="e">
        <f t="shared" si="1"/>
        <v>#DIV/0!</v>
      </c>
      <c r="H53" s="28"/>
    </row>
    <row r="54" spans="1:8" s="5" customFormat="1" ht="28.5" customHeight="1">
      <c r="A54" s="228" t="s">
        <v>276</v>
      </c>
      <c r="B54" s="109"/>
      <c r="C54" s="18">
        <v>26.7</v>
      </c>
      <c r="D54" s="42"/>
      <c r="E54" s="18"/>
      <c r="F54" s="14">
        <f t="shared" si="0"/>
        <v>0</v>
      </c>
      <c r="G54" s="197" t="e">
        <f t="shared" si="1"/>
        <v>#DIV/0!</v>
      </c>
      <c r="H54" s="28"/>
    </row>
    <row r="55" spans="1:8" s="5" customFormat="1" ht="31.5" customHeight="1">
      <c r="A55" s="228" t="s">
        <v>277</v>
      </c>
      <c r="B55" s="109"/>
      <c r="C55" s="18">
        <v>4.5999999999999996</v>
      </c>
      <c r="D55" s="42"/>
      <c r="E55" s="18"/>
      <c r="F55" s="14">
        <f t="shared" si="0"/>
        <v>0</v>
      </c>
      <c r="G55" s="197" t="e">
        <f t="shared" si="1"/>
        <v>#DIV/0!</v>
      </c>
      <c r="H55" s="28"/>
    </row>
    <row r="56" spans="1:8" s="5" customFormat="1" ht="27.75" customHeight="1">
      <c r="A56" s="228" t="s">
        <v>278</v>
      </c>
      <c r="B56" s="109"/>
      <c r="C56" s="18">
        <v>8.9</v>
      </c>
      <c r="D56" s="42"/>
      <c r="E56" s="18"/>
      <c r="F56" s="14">
        <f t="shared" si="0"/>
        <v>0</v>
      </c>
      <c r="G56" s="197" t="e">
        <f t="shared" si="1"/>
        <v>#DIV/0!</v>
      </c>
      <c r="H56" s="28"/>
    </row>
    <row r="57" spans="1:8" s="5" customFormat="1" ht="32.25" customHeight="1">
      <c r="A57" s="228" t="s">
        <v>279</v>
      </c>
      <c r="B57" s="109"/>
      <c r="C57" s="18">
        <v>10</v>
      </c>
      <c r="D57" s="42"/>
      <c r="E57" s="18"/>
      <c r="F57" s="14">
        <f t="shared" si="0"/>
        <v>0</v>
      </c>
      <c r="G57" s="197" t="e">
        <f t="shared" si="1"/>
        <v>#DIV/0!</v>
      </c>
      <c r="H57" s="28"/>
    </row>
    <row r="58" spans="1:8" s="5" customFormat="1" ht="27.75" customHeight="1">
      <c r="A58" s="228" t="s">
        <v>219</v>
      </c>
      <c r="B58" s="109"/>
      <c r="C58" s="18">
        <v>0.2</v>
      </c>
      <c r="D58" s="42"/>
      <c r="E58" s="18"/>
      <c r="F58" s="14">
        <f t="shared" si="0"/>
        <v>0</v>
      </c>
      <c r="G58" s="197" t="e">
        <f t="shared" si="1"/>
        <v>#DIV/0!</v>
      </c>
      <c r="H58" s="28"/>
    </row>
    <row r="59" spans="1:8" s="5" customFormat="1" ht="29.25" customHeight="1">
      <c r="A59" s="228" t="s">
        <v>280</v>
      </c>
      <c r="B59" s="109"/>
      <c r="C59" s="18">
        <v>1</v>
      </c>
      <c r="D59" s="42"/>
      <c r="E59" s="18"/>
      <c r="F59" s="14">
        <f t="shared" si="0"/>
        <v>0</v>
      </c>
      <c r="G59" s="197" t="e">
        <f t="shared" si="1"/>
        <v>#DIV/0!</v>
      </c>
      <c r="H59" s="28"/>
    </row>
    <row r="60" spans="1:8" s="5" customFormat="1" ht="29.25" customHeight="1">
      <c r="A60" s="194" t="s">
        <v>335</v>
      </c>
      <c r="B60" s="109"/>
      <c r="C60" s="18">
        <v>31.9</v>
      </c>
      <c r="D60" s="42"/>
      <c r="E60" s="18"/>
      <c r="F60" s="14">
        <f t="shared" si="0"/>
        <v>0</v>
      </c>
      <c r="G60" s="197" t="e">
        <f t="shared" si="1"/>
        <v>#DIV/0!</v>
      </c>
      <c r="H60" s="28"/>
    </row>
    <row r="61" spans="1:8" s="5" customFormat="1" ht="31.5" customHeight="1">
      <c r="A61" s="194" t="s">
        <v>336</v>
      </c>
      <c r="B61" s="109"/>
      <c r="C61" s="18">
        <v>2.1</v>
      </c>
      <c r="D61" s="42"/>
      <c r="E61" s="18"/>
      <c r="F61" s="14">
        <f t="shared" si="0"/>
        <v>0</v>
      </c>
      <c r="G61" s="197" t="e">
        <f t="shared" si="1"/>
        <v>#DIV/0!</v>
      </c>
      <c r="H61" s="28"/>
    </row>
    <row r="62" spans="1:8" s="5" customFormat="1" ht="56.25" customHeight="1">
      <c r="A62" s="228" t="s">
        <v>337</v>
      </c>
      <c r="B62" s="109"/>
      <c r="C62" s="18">
        <v>31.5</v>
      </c>
      <c r="D62" s="42"/>
      <c r="E62" s="18"/>
      <c r="F62" s="14">
        <f t="shared" si="0"/>
        <v>0</v>
      </c>
      <c r="G62" s="197" t="e">
        <f t="shared" si="1"/>
        <v>#DIV/0!</v>
      </c>
      <c r="H62" s="28"/>
    </row>
    <row r="63" spans="1:8" s="5" customFormat="1" ht="38.25" customHeight="1">
      <c r="A63" s="228" t="s">
        <v>338</v>
      </c>
      <c r="B63" s="109"/>
      <c r="C63" s="18">
        <v>32.4</v>
      </c>
      <c r="D63" s="42"/>
      <c r="E63" s="18"/>
      <c r="F63" s="14">
        <f t="shared" si="0"/>
        <v>0</v>
      </c>
      <c r="G63" s="197" t="e">
        <f t="shared" si="1"/>
        <v>#DIV/0!</v>
      </c>
      <c r="H63" s="28"/>
    </row>
    <row r="64" spans="1:8" s="5" customFormat="1" ht="31.5" customHeight="1">
      <c r="A64" s="194" t="s">
        <v>339</v>
      </c>
      <c r="B64" s="109"/>
      <c r="C64" s="18">
        <v>41</v>
      </c>
      <c r="D64" s="42"/>
      <c r="E64" s="18"/>
      <c r="F64" s="14">
        <f t="shared" si="0"/>
        <v>0</v>
      </c>
      <c r="G64" s="197" t="e">
        <f t="shared" si="1"/>
        <v>#DIV/0!</v>
      </c>
      <c r="H64" s="28"/>
    </row>
    <row r="65" spans="1:12" s="5" customFormat="1" ht="28.5" customHeight="1">
      <c r="A65" s="194" t="s">
        <v>340</v>
      </c>
      <c r="B65" s="109"/>
      <c r="C65" s="18">
        <v>4.0999999999999996</v>
      </c>
      <c r="D65" s="42"/>
      <c r="E65" s="18"/>
      <c r="F65" s="14">
        <f t="shared" si="0"/>
        <v>0</v>
      </c>
      <c r="G65" s="197" t="e">
        <f t="shared" si="1"/>
        <v>#DIV/0!</v>
      </c>
      <c r="H65" s="28"/>
    </row>
    <row r="66" spans="1:12" s="5" customFormat="1" ht="38.25" customHeight="1">
      <c r="A66" s="228" t="s">
        <v>341</v>
      </c>
      <c r="B66" s="109"/>
      <c r="C66" s="18">
        <v>27.3</v>
      </c>
      <c r="D66" s="42"/>
      <c r="E66" s="18"/>
      <c r="F66" s="14">
        <f t="shared" si="0"/>
        <v>0</v>
      </c>
      <c r="G66" s="197" t="e">
        <f t="shared" si="1"/>
        <v>#DIV/0!</v>
      </c>
      <c r="H66" s="28"/>
    </row>
    <row r="67" spans="1:12" s="5" customFormat="1" ht="33" customHeight="1">
      <c r="A67" s="228" t="s">
        <v>342</v>
      </c>
      <c r="B67" s="109"/>
      <c r="C67" s="18">
        <v>24.1</v>
      </c>
      <c r="D67" s="42"/>
      <c r="E67" s="18"/>
      <c r="F67" s="14">
        <f t="shared" si="0"/>
        <v>0</v>
      </c>
      <c r="G67" s="197" t="e">
        <f t="shared" si="1"/>
        <v>#DIV/0!</v>
      </c>
      <c r="H67" s="28"/>
    </row>
    <row r="68" spans="1:12" s="5" customFormat="1" ht="30" customHeight="1">
      <c r="A68" s="228" t="s">
        <v>343</v>
      </c>
      <c r="B68" s="109"/>
      <c r="C68" s="18">
        <v>7.7</v>
      </c>
      <c r="D68" s="42"/>
      <c r="E68" s="18"/>
      <c r="F68" s="14">
        <f t="shared" si="0"/>
        <v>0</v>
      </c>
      <c r="G68" s="197" t="e">
        <f t="shared" si="1"/>
        <v>#DIV/0!</v>
      </c>
      <c r="H68" s="28"/>
    </row>
    <row r="69" spans="1:12" s="5" customFormat="1" ht="29.25" customHeight="1">
      <c r="A69" s="228" t="s">
        <v>344</v>
      </c>
      <c r="B69" s="109"/>
      <c r="C69" s="18">
        <v>5.5</v>
      </c>
      <c r="D69" s="42"/>
      <c r="E69" s="18"/>
      <c r="F69" s="14">
        <f t="shared" si="0"/>
        <v>0</v>
      </c>
      <c r="G69" s="197" t="e">
        <f t="shared" si="1"/>
        <v>#DIV/0!</v>
      </c>
      <c r="H69" s="28"/>
    </row>
    <row r="70" spans="1:12" s="5" customFormat="1" ht="30.75" customHeight="1">
      <c r="A70" s="194" t="s">
        <v>345</v>
      </c>
      <c r="B70" s="109"/>
      <c r="C70" s="18">
        <v>4.0999999999999996</v>
      </c>
      <c r="D70" s="42"/>
      <c r="E70" s="18"/>
      <c r="F70" s="14">
        <f t="shared" si="0"/>
        <v>0</v>
      </c>
      <c r="G70" s="197" t="e">
        <f t="shared" si="1"/>
        <v>#DIV/0!</v>
      </c>
      <c r="H70" s="28"/>
    </row>
    <row r="71" spans="1:12" s="5" customFormat="1" ht="27.75" customHeight="1">
      <c r="A71" s="194" t="s">
        <v>346</v>
      </c>
      <c r="B71" s="109"/>
      <c r="C71" s="18">
        <v>1</v>
      </c>
      <c r="D71" s="42"/>
      <c r="E71" s="18"/>
      <c r="F71" s="14">
        <f t="shared" ref="F71:F130" si="2">E71-D71</f>
        <v>0</v>
      </c>
      <c r="G71" s="197" t="e">
        <f t="shared" ref="G71:G130" si="3">(E71/D71)*100</f>
        <v>#DIV/0!</v>
      </c>
      <c r="H71" s="28"/>
    </row>
    <row r="72" spans="1:12" s="5" customFormat="1" ht="28.5" customHeight="1">
      <c r="A72" s="194" t="s">
        <v>347</v>
      </c>
      <c r="B72" s="109"/>
      <c r="C72" s="18">
        <v>25</v>
      </c>
      <c r="D72" s="42"/>
      <c r="E72" s="18"/>
      <c r="F72" s="14">
        <f t="shared" si="2"/>
        <v>0</v>
      </c>
      <c r="G72" s="197" t="e">
        <f t="shared" si="3"/>
        <v>#DIV/0!</v>
      </c>
      <c r="H72" s="28"/>
    </row>
    <row r="73" spans="1:12" s="5" customFormat="1" ht="29.25" customHeight="1">
      <c r="A73" s="194" t="s">
        <v>348</v>
      </c>
      <c r="B73" s="109"/>
      <c r="C73" s="18">
        <v>0.5</v>
      </c>
      <c r="D73" s="42"/>
      <c r="E73" s="18"/>
      <c r="F73" s="14">
        <f t="shared" si="2"/>
        <v>0</v>
      </c>
      <c r="G73" s="197" t="e">
        <f t="shared" si="3"/>
        <v>#DIV/0!</v>
      </c>
      <c r="H73" s="28"/>
    </row>
    <row r="74" spans="1:12" s="5" customFormat="1" ht="38.25" customHeight="1">
      <c r="A74" s="228" t="s">
        <v>349</v>
      </c>
      <c r="B74" s="109"/>
      <c r="C74" s="18">
        <v>48</v>
      </c>
      <c r="D74" s="42"/>
      <c r="E74" s="18"/>
      <c r="F74" s="14">
        <f t="shared" si="2"/>
        <v>0</v>
      </c>
      <c r="G74" s="197" t="e">
        <f t="shared" si="3"/>
        <v>#DIV/0!</v>
      </c>
      <c r="H74" s="28"/>
    </row>
    <row r="75" spans="1:12" s="5" customFormat="1" ht="33" customHeight="1">
      <c r="A75" s="194" t="s">
        <v>350</v>
      </c>
      <c r="B75" s="109"/>
      <c r="C75" s="18">
        <v>13.3</v>
      </c>
      <c r="D75" s="42"/>
      <c r="E75" s="18"/>
      <c r="F75" s="14">
        <f t="shared" si="2"/>
        <v>0</v>
      </c>
      <c r="G75" s="197" t="e">
        <f t="shared" si="3"/>
        <v>#DIV/0!</v>
      </c>
      <c r="H75" s="28"/>
    </row>
    <row r="76" spans="1:12" s="5" customFormat="1" ht="28.5" customHeight="1">
      <c r="A76" s="194" t="s">
        <v>351</v>
      </c>
      <c r="B76" s="109"/>
      <c r="C76" s="18"/>
      <c r="D76" s="42"/>
      <c r="E76" s="18">
        <v>14.1</v>
      </c>
      <c r="F76" s="18">
        <f t="shared" si="2"/>
        <v>14.1</v>
      </c>
      <c r="G76" s="197" t="e">
        <f t="shared" si="3"/>
        <v>#DIV/0!</v>
      </c>
      <c r="H76" s="28"/>
    </row>
    <row r="77" spans="1:12" s="5" customFormat="1" ht="26.25" customHeight="1">
      <c r="A77" s="194" t="s">
        <v>352</v>
      </c>
      <c r="B77" s="109"/>
      <c r="C77" s="18"/>
      <c r="D77" s="42"/>
      <c r="E77" s="18">
        <v>8.1999999999999993</v>
      </c>
      <c r="F77" s="18">
        <f t="shared" si="2"/>
        <v>8.1999999999999993</v>
      </c>
      <c r="G77" s="197" t="e">
        <f t="shared" si="3"/>
        <v>#DIV/0!</v>
      </c>
      <c r="H77" s="28"/>
      <c r="L77" s="171"/>
    </row>
    <row r="78" spans="1:12" s="5" customFormat="1" ht="26.25" customHeight="1">
      <c r="A78" s="194" t="s">
        <v>414</v>
      </c>
      <c r="B78" s="109"/>
      <c r="C78" s="18"/>
      <c r="D78" s="42"/>
      <c r="E78" s="18">
        <v>5.8</v>
      </c>
      <c r="F78" s="18">
        <f t="shared" si="2"/>
        <v>5.8</v>
      </c>
      <c r="G78" s="197" t="e">
        <f t="shared" si="3"/>
        <v>#DIV/0!</v>
      </c>
      <c r="H78" s="28"/>
    </row>
    <row r="79" spans="1:12" s="5" customFormat="1" ht="32.25" customHeight="1">
      <c r="A79" s="195" t="s">
        <v>353</v>
      </c>
      <c r="B79" s="24"/>
      <c r="C79" s="24"/>
      <c r="D79" s="24"/>
      <c r="E79" s="18">
        <v>0.1</v>
      </c>
      <c r="F79" s="18">
        <f t="shared" si="2"/>
        <v>0.1</v>
      </c>
      <c r="G79" s="197" t="e">
        <f t="shared" si="3"/>
        <v>#DIV/0!</v>
      </c>
      <c r="H79" s="28"/>
    </row>
    <row r="80" spans="1:12" s="5" customFormat="1" ht="30" customHeight="1">
      <c r="A80" s="194" t="s">
        <v>354</v>
      </c>
      <c r="B80" s="109"/>
      <c r="C80" s="18"/>
      <c r="D80" s="42"/>
      <c r="E80" s="18">
        <v>1.6</v>
      </c>
      <c r="F80" s="18">
        <f t="shared" si="2"/>
        <v>1.6</v>
      </c>
      <c r="G80" s="197" t="e">
        <f t="shared" si="3"/>
        <v>#DIV/0!</v>
      </c>
      <c r="H80" s="28"/>
    </row>
    <row r="81" spans="1:8" s="5" customFormat="1" ht="28.5" customHeight="1">
      <c r="A81" s="194" t="s">
        <v>355</v>
      </c>
      <c r="B81" s="109"/>
      <c r="C81" s="18"/>
      <c r="D81" s="42"/>
      <c r="E81" s="18">
        <v>1.2</v>
      </c>
      <c r="F81" s="18">
        <f t="shared" si="2"/>
        <v>1.2</v>
      </c>
      <c r="G81" s="197" t="e">
        <f t="shared" si="3"/>
        <v>#DIV/0!</v>
      </c>
      <c r="H81" s="28"/>
    </row>
    <row r="82" spans="1:8" s="5" customFormat="1" ht="30.75" customHeight="1">
      <c r="A82" s="228" t="s">
        <v>356</v>
      </c>
      <c r="B82" s="109"/>
      <c r="C82" s="18"/>
      <c r="D82" s="42"/>
      <c r="E82" s="18">
        <v>0.2</v>
      </c>
      <c r="F82" s="18">
        <f t="shared" si="2"/>
        <v>0.2</v>
      </c>
      <c r="G82" s="197" t="e">
        <f t="shared" si="3"/>
        <v>#DIV/0!</v>
      </c>
      <c r="H82" s="28"/>
    </row>
    <row r="83" spans="1:8" s="5" customFormat="1" ht="30" customHeight="1">
      <c r="A83" s="194" t="s">
        <v>357</v>
      </c>
      <c r="B83" s="109"/>
      <c r="C83" s="18"/>
      <c r="D83" s="42"/>
      <c r="E83" s="18">
        <v>0.5</v>
      </c>
      <c r="F83" s="18">
        <f t="shared" si="2"/>
        <v>0.5</v>
      </c>
      <c r="G83" s="197" t="e">
        <f t="shared" si="3"/>
        <v>#DIV/0!</v>
      </c>
      <c r="H83" s="28"/>
    </row>
    <row r="84" spans="1:8" s="5" customFormat="1" ht="38.25" customHeight="1">
      <c r="A84" s="228" t="s">
        <v>358</v>
      </c>
      <c r="B84" s="109"/>
      <c r="C84" s="18"/>
      <c r="D84" s="42"/>
      <c r="E84" s="18">
        <v>0.7</v>
      </c>
      <c r="F84" s="18">
        <f t="shared" si="2"/>
        <v>0.7</v>
      </c>
      <c r="G84" s="197" t="e">
        <f t="shared" si="3"/>
        <v>#DIV/0!</v>
      </c>
      <c r="H84" s="28"/>
    </row>
    <row r="85" spans="1:8" s="5" customFormat="1" ht="34.5" customHeight="1">
      <c r="A85" s="194" t="s">
        <v>359</v>
      </c>
      <c r="B85" s="109"/>
      <c r="C85" s="18"/>
      <c r="D85" s="42"/>
      <c r="E85" s="18">
        <v>1.9</v>
      </c>
      <c r="F85" s="18">
        <f t="shared" si="2"/>
        <v>1.9</v>
      </c>
      <c r="G85" s="197" t="e">
        <f t="shared" si="3"/>
        <v>#DIV/0!</v>
      </c>
      <c r="H85" s="28"/>
    </row>
    <row r="86" spans="1:8" s="5" customFormat="1" ht="38.25" customHeight="1">
      <c r="A86" s="194" t="s">
        <v>360</v>
      </c>
      <c r="B86" s="109"/>
      <c r="C86" s="18"/>
      <c r="D86" s="42"/>
      <c r="E86" s="18">
        <v>2.1</v>
      </c>
      <c r="F86" s="18">
        <f t="shared" si="2"/>
        <v>2.1</v>
      </c>
      <c r="G86" s="197" t="e">
        <f t="shared" si="3"/>
        <v>#DIV/0!</v>
      </c>
      <c r="H86" s="28"/>
    </row>
    <row r="87" spans="1:8" s="5" customFormat="1" ht="38.25" customHeight="1">
      <c r="A87" s="194" t="s">
        <v>361</v>
      </c>
      <c r="B87" s="109"/>
      <c r="C87" s="18"/>
      <c r="D87" s="42"/>
      <c r="E87" s="18">
        <v>1.7</v>
      </c>
      <c r="F87" s="18">
        <f t="shared" si="2"/>
        <v>1.7</v>
      </c>
      <c r="G87" s="197" t="e">
        <f t="shared" si="3"/>
        <v>#DIV/0!</v>
      </c>
      <c r="H87" s="28"/>
    </row>
    <row r="88" spans="1:8" s="5" customFormat="1" ht="38.25" customHeight="1">
      <c r="A88" s="194" t="s">
        <v>362</v>
      </c>
      <c r="B88" s="109"/>
      <c r="C88" s="18"/>
      <c r="D88" s="42"/>
      <c r="E88" s="18">
        <v>1</v>
      </c>
      <c r="F88" s="18">
        <f t="shared" si="2"/>
        <v>1</v>
      </c>
      <c r="G88" s="197" t="e">
        <f t="shared" si="3"/>
        <v>#DIV/0!</v>
      </c>
      <c r="H88" s="28"/>
    </row>
    <row r="89" spans="1:8" s="5" customFormat="1" ht="32.25" customHeight="1">
      <c r="A89" s="194" t="s">
        <v>363</v>
      </c>
      <c r="B89" s="109"/>
      <c r="C89" s="18"/>
      <c r="D89" s="42"/>
      <c r="E89" s="18">
        <v>1.3</v>
      </c>
      <c r="F89" s="18">
        <f t="shared" si="2"/>
        <v>1.3</v>
      </c>
      <c r="G89" s="197" t="e">
        <f t="shared" si="3"/>
        <v>#DIV/0!</v>
      </c>
      <c r="H89" s="28"/>
    </row>
    <row r="90" spans="1:8" s="5" customFormat="1" ht="36" customHeight="1">
      <c r="A90" s="194" t="s">
        <v>364</v>
      </c>
      <c r="B90" s="109"/>
      <c r="C90" s="18"/>
      <c r="D90" s="42"/>
      <c r="E90" s="18">
        <v>0.4</v>
      </c>
      <c r="F90" s="18">
        <f t="shared" si="2"/>
        <v>0.4</v>
      </c>
      <c r="G90" s="197" t="e">
        <f t="shared" si="3"/>
        <v>#DIV/0!</v>
      </c>
      <c r="H90" s="28"/>
    </row>
    <row r="91" spans="1:8" s="5" customFormat="1" ht="38.25" customHeight="1">
      <c r="A91" s="194" t="s">
        <v>365</v>
      </c>
      <c r="B91" s="109"/>
      <c r="C91" s="18"/>
      <c r="D91" s="42"/>
      <c r="E91" s="18">
        <v>2.2999999999999998</v>
      </c>
      <c r="F91" s="18">
        <f t="shared" si="2"/>
        <v>2.2999999999999998</v>
      </c>
      <c r="G91" s="197" t="e">
        <f t="shared" si="3"/>
        <v>#DIV/0!</v>
      </c>
      <c r="H91" s="28"/>
    </row>
    <row r="92" spans="1:8" s="5" customFormat="1" ht="38.25" customHeight="1">
      <c r="A92" s="194" t="s">
        <v>366</v>
      </c>
      <c r="B92" s="109"/>
      <c r="C92" s="18"/>
      <c r="D92" s="42"/>
      <c r="E92" s="18">
        <v>1.1000000000000001</v>
      </c>
      <c r="F92" s="18">
        <f t="shared" si="2"/>
        <v>1.1000000000000001</v>
      </c>
      <c r="G92" s="197" t="e">
        <f t="shared" si="3"/>
        <v>#DIV/0!</v>
      </c>
      <c r="H92" s="28"/>
    </row>
    <row r="93" spans="1:8" s="5" customFormat="1" ht="44.25" customHeight="1">
      <c r="A93" s="228" t="s">
        <v>367</v>
      </c>
      <c r="B93" s="109"/>
      <c r="C93" s="18"/>
      <c r="D93" s="42"/>
      <c r="E93" s="18">
        <v>1.7</v>
      </c>
      <c r="F93" s="18">
        <f t="shared" si="2"/>
        <v>1.7</v>
      </c>
      <c r="G93" s="197" t="e">
        <f t="shared" si="3"/>
        <v>#DIV/0!</v>
      </c>
      <c r="H93" s="28"/>
    </row>
    <row r="94" spans="1:8" s="5" customFormat="1" ht="38.25" customHeight="1">
      <c r="A94" s="194" t="s">
        <v>368</v>
      </c>
      <c r="B94" s="109"/>
      <c r="C94" s="18"/>
      <c r="D94" s="42"/>
      <c r="E94" s="18">
        <v>2.1</v>
      </c>
      <c r="F94" s="18">
        <f t="shared" si="2"/>
        <v>2.1</v>
      </c>
      <c r="G94" s="197" t="e">
        <f t="shared" si="3"/>
        <v>#DIV/0!</v>
      </c>
      <c r="H94" s="28"/>
    </row>
    <row r="95" spans="1:8" s="5" customFormat="1" ht="38.25" customHeight="1">
      <c r="A95" s="194" t="s">
        <v>369</v>
      </c>
      <c r="B95" s="109"/>
      <c r="C95" s="18"/>
      <c r="D95" s="42"/>
      <c r="E95" s="18">
        <v>2.9</v>
      </c>
      <c r="F95" s="18">
        <f t="shared" si="2"/>
        <v>2.9</v>
      </c>
      <c r="G95" s="197" t="e">
        <f t="shared" si="3"/>
        <v>#DIV/0!</v>
      </c>
      <c r="H95" s="28"/>
    </row>
    <row r="96" spans="1:8" s="5" customFormat="1" ht="38.25" customHeight="1">
      <c r="A96" s="194" t="s">
        <v>370</v>
      </c>
      <c r="B96" s="109"/>
      <c r="C96" s="18"/>
      <c r="D96" s="42"/>
      <c r="E96" s="18">
        <v>2.8</v>
      </c>
      <c r="F96" s="18">
        <f t="shared" si="2"/>
        <v>2.8</v>
      </c>
      <c r="G96" s="197" t="e">
        <f t="shared" si="3"/>
        <v>#DIV/0!</v>
      </c>
      <c r="H96" s="28"/>
    </row>
    <row r="97" spans="1:11" s="5" customFormat="1" ht="38.25" customHeight="1">
      <c r="A97" s="194" t="s">
        <v>371</v>
      </c>
      <c r="B97" s="109"/>
      <c r="C97" s="18"/>
      <c r="D97" s="42"/>
      <c r="E97" s="18">
        <v>0.2</v>
      </c>
      <c r="F97" s="18">
        <f t="shared" si="2"/>
        <v>0.2</v>
      </c>
      <c r="G97" s="197" t="e">
        <f t="shared" si="3"/>
        <v>#DIV/0!</v>
      </c>
      <c r="H97" s="28"/>
    </row>
    <row r="98" spans="1:11" s="5" customFormat="1" ht="38.25" customHeight="1">
      <c r="A98" s="194" t="s">
        <v>372</v>
      </c>
      <c r="B98" s="109"/>
      <c r="C98" s="18"/>
      <c r="D98" s="42"/>
      <c r="E98" s="18">
        <v>0.3</v>
      </c>
      <c r="F98" s="18">
        <f t="shared" si="2"/>
        <v>0.3</v>
      </c>
      <c r="G98" s="197" t="e">
        <f t="shared" si="3"/>
        <v>#DIV/0!</v>
      </c>
      <c r="H98" s="28"/>
    </row>
    <row r="99" spans="1:11" s="5" customFormat="1" ht="38.25" customHeight="1">
      <c r="A99" s="194" t="s">
        <v>373</v>
      </c>
      <c r="B99" s="109"/>
      <c r="C99" s="18"/>
      <c r="D99" s="42"/>
      <c r="E99" s="18">
        <v>0.4</v>
      </c>
      <c r="F99" s="18">
        <f t="shared" si="2"/>
        <v>0.4</v>
      </c>
      <c r="G99" s="197" t="e">
        <f t="shared" si="3"/>
        <v>#DIV/0!</v>
      </c>
      <c r="H99" s="28"/>
    </row>
    <row r="100" spans="1:11" s="5" customFormat="1" ht="38.25" customHeight="1">
      <c r="A100" s="194" t="s">
        <v>374</v>
      </c>
      <c r="B100" s="109"/>
      <c r="C100" s="18"/>
      <c r="D100" s="42"/>
      <c r="E100" s="18">
        <v>0.6</v>
      </c>
      <c r="F100" s="18">
        <f t="shared" si="2"/>
        <v>0.6</v>
      </c>
      <c r="G100" s="197" t="e">
        <f t="shared" si="3"/>
        <v>#DIV/0!</v>
      </c>
      <c r="H100" s="28"/>
    </row>
    <row r="101" spans="1:11" s="5" customFormat="1" ht="38.25" customHeight="1">
      <c r="A101" s="194" t="s">
        <v>375</v>
      </c>
      <c r="B101" s="109"/>
      <c r="C101" s="18"/>
      <c r="D101" s="42"/>
      <c r="E101" s="18">
        <v>1</v>
      </c>
      <c r="F101" s="18">
        <f t="shared" si="2"/>
        <v>1</v>
      </c>
      <c r="G101" s="197" t="e">
        <f t="shared" si="3"/>
        <v>#DIV/0!</v>
      </c>
      <c r="H101" s="28"/>
    </row>
    <row r="102" spans="1:11" s="5" customFormat="1" ht="38.25" customHeight="1">
      <c r="A102" s="194" t="s">
        <v>376</v>
      </c>
      <c r="B102" s="109"/>
      <c r="C102" s="18"/>
      <c r="D102" s="42"/>
      <c r="E102" s="18">
        <v>1</v>
      </c>
      <c r="F102" s="18">
        <f t="shared" si="2"/>
        <v>1</v>
      </c>
      <c r="G102" s="197" t="e">
        <f t="shared" si="3"/>
        <v>#DIV/0!</v>
      </c>
      <c r="H102" s="28"/>
    </row>
    <row r="103" spans="1:11" s="5" customFormat="1" ht="38.25" customHeight="1">
      <c r="A103" s="194" t="s">
        <v>377</v>
      </c>
      <c r="B103" s="109"/>
      <c r="C103" s="18"/>
      <c r="D103" s="42"/>
      <c r="E103" s="18">
        <v>0.5</v>
      </c>
      <c r="F103" s="18">
        <f t="shared" si="2"/>
        <v>0.5</v>
      </c>
      <c r="G103" s="197" t="e">
        <f t="shared" si="3"/>
        <v>#DIV/0!</v>
      </c>
      <c r="H103" s="28"/>
    </row>
    <row r="104" spans="1:11" s="5" customFormat="1" ht="38.25" customHeight="1">
      <c r="A104" s="194" t="s">
        <v>378</v>
      </c>
      <c r="B104" s="109"/>
      <c r="C104" s="18"/>
      <c r="D104" s="42"/>
      <c r="E104" s="18">
        <v>0.3</v>
      </c>
      <c r="F104" s="18">
        <f t="shared" si="2"/>
        <v>0.3</v>
      </c>
      <c r="G104" s="197" t="e">
        <f t="shared" si="3"/>
        <v>#DIV/0!</v>
      </c>
      <c r="H104" s="28"/>
    </row>
    <row r="105" spans="1:11" s="5" customFormat="1" ht="38.25" customHeight="1">
      <c r="A105" s="194" t="s">
        <v>379</v>
      </c>
      <c r="B105" s="109"/>
      <c r="C105" s="18"/>
      <c r="D105" s="42"/>
      <c r="E105" s="18">
        <v>2.2999999999999998</v>
      </c>
      <c r="F105" s="18">
        <f t="shared" si="2"/>
        <v>2.2999999999999998</v>
      </c>
      <c r="G105" s="197" t="e">
        <f t="shared" si="3"/>
        <v>#DIV/0!</v>
      </c>
      <c r="H105" s="28"/>
    </row>
    <row r="106" spans="1:11" s="5" customFormat="1" ht="38.25" customHeight="1">
      <c r="A106" s="194" t="s">
        <v>380</v>
      </c>
      <c r="B106" s="109"/>
      <c r="C106" s="18"/>
      <c r="D106" s="42"/>
      <c r="E106" s="18">
        <v>0.7</v>
      </c>
      <c r="F106" s="18">
        <f t="shared" si="2"/>
        <v>0.7</v>
      </c>
      <c r="G106" s="197" t="e">
        <f t="shared" si="3"/>
        <v>#DIV/0!</v>
      </c>
      <c r="H106" s="28"/>
    </row>
    <row r="107" spans="1:11" s="5" customFormat="1" ht="38.25" customHeight="1">
      <c r="A107" s="194" t="s">
        <v>381</v>
      </c>
      <c r="B107" s="109"/>
      <c r="C107" s="18"/>
      <c r="D107" s="42"/>
      <c r="E107" s="18">
        <v>0.2</v>
      </c>
      <c r="F107" s="18">
        <f t="shared" si="2"/>
        <v>0.2</v>
      </c>
      <c r="G107" s="197" t="e">
        <f t="shared" si="3"/>
        <v>#DIV/0!</v>
      </c>
      <c r="H107" s="28"/>
    </row>
    <row r="108" spans="1:11" s="5" customFormat="1" ht="38.25" customHeight="1">
      <c r="A108" s="194" t="s">
        <v>382</v>
      </c>
      <c r="B108" s="109"/>
      <c r="C108" s="18"/>
      <c r="D108" s="42"/>
      <c r="E108" s="18">
        <v>4.5</v>
      </c>
      <c r="F108" s="18">
        <f t="shared" si="2"/>
        <v>4.5</v>
      </c>
      <c r="G108" s="197" t="e">
        <f t="shared" si="3"/>
        <v>#DIV/0!</v>
      </c>
      <c r="H108" s="28"/>
      <c r="K108" s="171"/>
    </row>
    <row r="109" spans="1:11" s="5" customFormat="1" ht="38.25" customHeight="1">
      <c r="A109" s="194" t="s">
        <v>383</v>
      </c>
      <c r="B109" s="109"/>
      <c r="C109" s="18"/>
      <c r="D109" s="42"/>
      <c r="E109" s="18">
        <v>1.2</v>
      </c>
      <c r="F109" s="18">
        <f t="shared" si="2"/>
        <v>1.2</v>
      </c>
      <c r="G109" s="197" t="e">
        <f t="shared" si="3"/>
        <v>#DIV/0!</v>
      </c>
      <c r="H109" s="28"/>
    </row>
    <row r="110" spans="1:11" s="5" customFormat="1" ht="38.25" customHeight="1">
      <c r="A110" s="194" t="s">
        <v>384</v>
      </c>
      <c r="B110" s="109"/>
      <c r="C110" s="18"/>
      <c r="D110" s="42"/>
      <c r="E110" s="18">
        <v>0.7</v>
      </c>
      <c r="F110" s="18">
        <f t="shared" si="2"/>
        <v>0.7</v>
      </c>
      <c r="G110" s="197" t="e">
        <f t="shared" si="3"/>
        <v>#DIV/0!</v>
      </c>
      <c r="H110" s="28"/>
    </row>
    <row r="111" spans="1:11" s="5" customFormat="1" ht="38.25" customHeight="1">
      <c r="A111" s="194" t="s">
        <v>385</v>
      </c>
      <c r="B111" s="109"/>
      <c r="C111" s="18"/>
      <c r="D111" s="42"/>
      <c r="E111" s="18">
        <v>1</v>
      </c>
      <c r="F111" s="18">
        <f t="shared" si="2"/>
        <v>1</v>
      </c>
      <c r="G111" s="197" t="e">
        <f t="shared" si="3"/>
        <v>#DIV/0!</v>
      </c>
      <c r="H111" s="28"/>
    </row>
    <row r="112" spans="1:11" s="5" customFormat="1" ht="38.25" customHeight="1">
      <c r="A112" s="194" t="s">
        <v>386</v>
      </c>
      <c r="B112" s="109"/>
      <c r="C112" s="18"/>
      <c r="D112" s="42"/>
      <c r="E112" s="18">
        <v>14.7</v>
      </c>
      <c r="F112" s="18">
        <f t="shared" si="2"/>
        <v>14.7</v>
      </c>
      <c r="G112" s="197" t="e">
        <f t="shared" si="3"/>
        <v>#DIV/0!</v>
      </c>
      <c r="H112" s="28"/>
    </row>
    <row r="113" spans="1:13" s="5" customFormat="1" ht="38.25" customHeight="1">
      <c r="A113" s="228" t="s">
        <v>387</v>
      </c>
      <c r="B113" s="109"/>
      <c r="C113" s="18"/>
      <c r="D113" s="42"/>
      <c r="E113" s="18">
        <v>17.399999999999999</v>
      </c>
      <c r="F113" s="18">
        <f t="shared" si="2"/>
        <v>17.399999999999999</v>
      </c>
      <c r="G113" s="197" t="e">
        <f t="shared" si="3"/>
        <v>#DIV/0!</v>
      </c>
      <c r="H113" s="28"/>
      <c r="J113" s="227"/>
      <c r="K113" s="227"/>
      <c r="L113" s="227"/>
      <c r="M113" s="31"/>
    </row>
    <row r="114" spans="1:13" s="5" customFormat="1" ht="38.25" customHeight="1">
      <c r="A114" s="228" t="s">
        <v>388</v>
      </c>
      <c r="B114" s="109"/>
      <c r="C114" s="18"/>
      <c r="D114" s="42"/>
      <c r="E114" s="18">
        <v>18.8</v>
      </c>
      <c r="F114" s="18">
        <f t="shared" si="2"/>
        <v>18.8</v>
      </c>
      <c r="G114" s="197" t="e">
        <f t="shared" si="3"/>
        <v>#DIV/0!</v>
      </c>
      <c r="H114" s="28"/>
      <c r="J114" s="227"/>
      <c r="K114" s="227"/>
      <c r="L114" s="227"/>
      <c r="M114" s="176"/>
    </row>
    <row r="115" spans="1:13" s="5" customFormat="1" ht="38.25" customHeight="1">
      <c r="A115" s="228" t="s">
        <v>389</v>
      </c>
      <c r="B115" s="109"/>
      <c r="C115" s="18"/>
      <c r="D115" s="42"/>
      <c r="E115" s="18">
        <v>6.9</v>
      </c>
      <c r="F115" s="18">
        <f t="shared" si="2"/>
        <v>6.9</v>
      </c>
      <c r="G115" s="197" t="e">
        <f t="shared" si="3"/>
        <v>#DIV/0!</v>
      </c>
      <c r="H115" s="28"/>
      <c r="J115" s="256"/>
      <c r="K115" s="256"/>
      <c r="L115" s="256"/>
      <c r="M115" s="176"/>
    </row>
    <row r="116" spans="1:13" s="5" customFormat="1" ht="38.25" customHeight="1">
      <c r="A116" s="228" t="s">
        <v>390</v>
      </c>
      <c r="B116" s="109"/>
      <c r="C116" s="18"/>
      <c r="D116" s="42"/>
      <c r="E116" s="18">
        <v>29.8</v>
      </c>
      <c r="F116" s="18">
        <f t="shared" si="2"/>
        <v>29.8</v>
      </c>
      <c r="G116" s="197" t="e">
        <f t="shared" si="3"/>
        <v>#DIV/0!</v>
      </c>
      <c r="H116" s="28"/>
      <c r="J116" s="256"/>
      <c r="K116" s="256"/>
      <c r="L116" s="256"/>
      <c r="M116" s="31"/>
    </row>
    <row r="117" spans="1:13" s="5" customFormat="1" ht="38.25" customHeight="1">
      <c r="A117" s="228" t="s">
        <v>418</v>
      </c>
      <c r="B117" s="174"/>
      <c r="C117" s="174"/>
      <c r="D117" s="42"/>
      <c r="E117" s="18">
        <v>24.8</v>
      </c>
      <c r="F117" s="18">
        <f t="shared" si="2"/>
        <v>24.8</v>
      </c>
      <c r="G117" s="197" t="e">
        <f t="shared" si="3"/>
        <v>#DIV/0!</v>
      </c>
      <c r="H117" s="28"/>
      <c r="J117" s="256"/>
      <c r="K117" s="256"/>
      <c r="L117" s="256"/>
      <c r="M117" s="31"/>
    </row>
    <row r="118" spans="1:13" s="5" customFormat="1" ht="44.25" customHeight="1">
      <c r="A118" s="228" t="s">
        <v>419</v>
      </c>
      <c r="B118" s="109"/>
      <c r="C118" s="18"/>
      <c r="D118" s="42"/>
      <c r="E118" s="18">
        <v>10.4</v>
      </c>
      <c r="F118" s="18">
        <f t="shared" si="2"/>
        <v>10.4</v>
      </c>
      <c r="G118" s="197" t="e">
        <f t="shared" si="3"/>
        <v>#DIV/0!</v>
      </c>
      <c r="H118" s="28"/>
    </row>
    <row r="119" spans="1:13" s="5" customFormat="1" ht="44.25" customHeight="1">
      <c r="A119" s="228" t="s">
        <v>391</v>
      </c>
      <c r="B119" s="109"/>
      <c r="C119" s="18"/>
      <c r="D119" s="42"/>
      <c r="E119" s="18">
        <v>7</v>
      </c>
      <c r="F119" s="18">
        <f t="shared" si="2"/>
        <v>7</v>
      </c>
      <c r="G119" s="197" t="e">
        <f t="shared" si="3"/>
        <v>#DIV/0!</v>
      </c>
      <c r="H119" s="28"/>
    </row>
    <row r="120" spans="1:13" s="5" customFormat="1" ht="38.25" customHeight="1">
      <c r="A120" s="228" t="s">
        <v>392</v>
      </c>
      <c r="B120" s="109"/>
      <c r="C120" s="18"/>
      <c r="D120" s="42"/>
      <c r="E120" s="18">
        <v>2.9</v>
      </c>
      <c r="F120" s="18">
        <f t="shared" si="2"/>
        <v>2.9</v>
      </c>
      <c r="G120" s="197" t="e">
        <f t="shared" si="3"/>
        <v>#DIV/0!</v>
      </c>
      <c r="H120" s="28"/>
    </row>
    <row r="121" spans="1:13" s="5" customFormat="1" ht="38.25" customHeight="1">
      <c r="A121" s="228" t="s">
        <v>393</v>
      </c>
      <c r="B121" s="109"/>
      <c r="C121" s="18"/>
      <c r="D121" s="42"/>
      <c r="E121" s="18">
        <v>11</v>
      </c>
      <c r="F121" s="18">
        <f t="shared" si="2"/>
        <v>11</v>
      </c>
      <c r="G121" s="197" t="e">
        <f t="shared" si="3"/>
        <v>#DIV/0!</v>
      </c>
      <c r="H121" s="28"/>
    </row>
    <row r="122" spans="1:13" s="5" customFormat="1" ht="28.5" customHeight="1">
      <c r="A122" s="228" t="s">
        <v>413</v>
      </c>
      <c r="B122" s="109"/>
      <c r="C122" s="18"/>
      <c r="D122" s="42"/>
      <c r="E122" s="18">
        <v>1.6</v>
      </c>
      <c r="F122" s="18">
        <f t="shared" si="2"/>
        <v>1.6</v>
      </c>
      <c r="G122" s="197" t="e">
        <f t="shared" si="3"/>
        <v>#DIV/0!</v>
      </c>
      <c r="H122" s="28"/>
    </row>
    <row r="123" spans="1:13" s="5" customFormat="1" ht="29.25" customHeight="1">
      <c r="A123" s="228" t="s">
        <v>394</v>
      </c>
      <c r="B123" s="109"/>
      <c r="C123" s="18"/>
      <c r="D123" s="42"/>
      <c r="E123" s="18">
        <v>4.8</v>
      </c>
      <c r="F123" s="18">
        <f t="shared" si="2"/>
        <v>4.8</v>
      </c>
      <c r="G123" s="197" t="e">
        <f t="shared" si="3"/>
        <v>#DIV/0!</v>
      </c>
      <c r="H123" s="28"/>
    </row>
    <row r="124" spans="1:13" s="5" customFormat="1" ht="68.25" customHeight="1">
      <c r="A124" s="74" t="s">
        <v>63</v>
      </c>
      <c r="B124" s="109">
        <v>4050</v>
      </c>
      <c r="C124" s="42"/>
      <c r="D124" s="42">
        <f>D126+D125</f>
        <v>2589.1999999999998</v>
      </c>
      <c r="E124" s="42">
        <f>E126+E125</f>
        <v>1649.8000000000002</v>
      </c>
      <c r="F124" s="42">
        <f t="shared" ref="F124:F126" si="4">E124-D124</f>
        <v>-939.39999999999964</v>
      </c>
      <c r="G124" s="286">
        <f t="shared" ref="G124:G126" si="5">(E124/D124)*100</f>
        <v>63.718523095936987</v>
      </c>
      <c r="H124" s="28"/>
    </row>
    <row r="125" spans="1:13" s="5" customFormat="1" ht="164.25" customHeight="1">
      <c r="A125" s="228" t="s">
        <v>415</v>
      </c>
      <c r="B125" s="27"/>
      <c r="C125" s="14"/>
      <c r="D125" s="14"/>
      <c r="E125" s="18">
        <v>83.9</v>
      </c>
      <c r="F125" s="18">
        <f t="shared" ref="F125" si="6">E125-D125</f>
        <v>83.9</v>
      </c>
      <c r="G125" s="197" t="e">
        <f t="shared" ref="G125" si="7">(E125/D125)*100</f>
        <v>#DIV/0!</v>
      </c>
      <c r="H125" s="28"/>
    </row>
    <row r="126" spans="1:13" s="5" customFormat="1" ht="81.75" customHeight="1">
      <c r="A126" s="228" t="s">
        <v>460</v>
      </c>
      <c r="B126" s="109"/>
      <c r="C126" s="18"/>
      <c r="D126" s="18">
        <v>2589.1999999999998</v>
      </c>
      <c r="E126" s="18">
        <v>1565.9</v>
      </c>
      <c r="F126" s="18">
        <f t="shared" si="4"/>
        <v>-1023.2999999999997</v>
      </c>
      <c r="G126" s="197">
        <f t="shared" si="5"/>
        <v>60.478139966012677</v>
      </c>
      <c r="H126" s="28"/>
    </row>
    <row r="127" spans="1:13" ht="36.75" customHeight="1">
      <c r="A127" s="74" t="s">
        <v>39</v>
      </c>
      <c r="B127" s="70">
        <v>4060</v>
      </c>
      <c r="C127" s="42">
        <f>C128</f>
        <v>244</v>
      </c>
      <c r="D127" s="42">
        <f>SUM(D128:D129)</f>
        <v>0</v>
      </c>
      <c r="E127" s="42">
        <f>SUM(E128:E130)</f>
        <v>8960.2000000000007</v>
      </c>
      <c r="F127" s="14">
        <f t="shared" si="2"/>
        <v>8960.2000000000007</v>
      </c>
      <c r="G127" s="197" t="e">
        <f t="shared" si="3"/>
        <v>#DIV/0!</v>
      </c>
    </row>
    <row r="128" spans="1:13" ht="83.25" customHeight="1">
      <c r="A128" s="228" t="s">
        <v>220</v>
      </c>
      <c r="B128" s="11"/>
      <c r="C128" s="18">
        <v>244</v>
      </c>
      <c r="D128" s="18"/>
      <c r="E128" s="18">
        <v>4495.7</v>
      </c>
      <c r="F128" s="18">
        <f t="shared" si="2"/>
        <v>4495.7</v>
      </c>
      <c r="G128" s="197" t="e">
        <f t="shared" si="3"/>
        <v>#DIV/0!</v>
      </c>
    </row>
    <row r="129" spans="1:8" ht="108" customHeight="1">
      <c r="A129" s="228" t="s">
        <v>317</v>
      </c>
      <c r="B129" s="11"/>
      <c r="C129" s="18"/>
      <c r="D129" s="18"/>
      <c r="E129" s="18">
        <v>4396.5</v>
      </c>
      <c r="F129" s="18">
        <f t="shared" si="2"/>
        <v>4396.5</v>
      </c>
      <c r="G129" s="197" t="e">
        <f t="shared" si="3"/>
        <v>#DIV/0!</v>
      </c>
    </row>
    <row r="130" spans="1:8" ht="197.25" customHeight="1">
      <c r="A130" s="228" t="s">
        <v>416</v>
      </c>
      <c r="B130" s="11"/>
      <c r="C130" s="18"/>
      <c r="D130" s="18"/>
      <c r="E130" s="18">
        <v>68</v>
      </c>
      <c r="F130" s="18">
        <f t="shared" si="2"/>
        <v>68</v>
      </c>
      <c r="G130" s="196" t="e">
        <f t="shared" si="3"/>
        <v>#DIV/0!</v>
      </c>
    </row>
    <row r="131" spans="1:8" s="220" customFormat="1" ht="26.25" customHeight="1">
      <c r="A131" s="29" t="s">
        <v>213</v>
      </c>
      <c r="B131" s="30"/>
      <c r="C131" s="250"/>
      <c r="D131" s="250"/>
      <c r="E131" s="247" t="s">
        <v>186</v>
      </c>
      <c r="F131" s="247"/>
      <c r="G131" s="247"/>
      <c r="H131" s="180"/>
    </row>
    <row r="132" spans="1:8">
      <c r="A132" s="220" t="s">
        <v>60</v>
      </c>
      <c r="B132" s="2"/>
      <c r="C132" s="251" t="s">
        <v>66</v>
      </c>
      <c r="D132" s="251"/>
      <c r="E132" s="248" t="s">
        <v>17</v>
      </c>
      <c r="F132" s="248"/>
      <c r="G132" s="248"/>
    </row>
    <row r="133" spans="1:8">
      <c r="A133" s="7"/>
      <c r="C133" s="110"/>
      <c r="D133" s="6"/>
      <c r="E133" s="6"/>
      <c r="F133" s="6"/>
    </row>
    <row r="134" spans="1:8">
      <c r="A134" s="7"/>
      <c r="C134" s="110"/>
      <c r="D134" s="6"/>
      <c r="E134" s="6"/>
      <c r="F134" s="6"/>
    </row>
    <row r="135" spans="1:8">
      <c r="A135" s="7"/>
      <c r="C135" s="110"/>
      <c r="D135" s="6"/>
      <c r="E135" s="6"/>
      <c r="F135" s="6"/>
    </row>
    <row r="136" spans="1:8">
      <c r="A136" s="7"/>
      <c r="C136" s="110"/>
      <c r="D136" s="6"/>
      <c r="E136" s="6"/>
      <c r="F136" s="6"/>
    </row>
    <row r="137" spans="1:8">
      <c r="A137" s="7"/>
      <c r="C137" s="110"/>
      <c r="D137" s="6"/>
      <c r="E137" s="6"/>
      <c r="F137" s="6"/>
    </row>
    <row r="138" spans="1:8">
      <c r="A138" s="7"/>
      <c r="C138" s="110"/>
      <c r="D138" s="6"/>
      <c r="E138" s="6"/>
      <c r="F138" s="6"/>
    </row>
    <row r="139" spans="1:8">
      <c r="A139" s="7"/>
      <c r="C139" s="110"/>
      <c r="D139" s="6"/>
      <c r="E139" s="6"/>
      <c r="F139" s="6"/>
    </row>
    <row r="140" spans="1:8">
      <c r="A140" s="7"/>
      <c r="C140" s="110"/>
      <c r="D140" s="6"/>
      <c r="E140" s="6"/>
      <c r="F140" s="6"/>
    </row>
    <row r="141" spans="1:8">
      <c r="A141" s="7"/>
      <c r="C141" s="110"/>
      <c r="D141" s="6"/>
      <c r="E141" s="6"/>
      <c r="F141" s="6"/>
    </row>
    <row r="142" spans="1:8">
      <c r="A142" s="7"/>
      <c r="C142" s="110"/>
      <c r="D142" s="6"/>
      <c r="E142" s="6"/>
      <c r="F142" s="6"/>
    </row>
    <row r="143" spans="1:8">
      <c r="A143" s="7"/>
      <c r="C143" s="110"/>
      <c r="D143" s="6"/>
      <c r="E143" s="6"/>
      <c r="F143" s="6"/>
    </row>
    <row r="144" spans="1:8">
      <c r="A144" s="7"/>
      <c r="C144" s="110"/>
      <c r="D144" s="6"/>
      <c r="E144" s="6"/>
      <c r="F144" s="6"/>
    </row>
    <row r="145" spans="1:6">
      <c r="A145" s="7"/>
      <c r="C145" s="110"/>
      <c r="D145" s="6"/>
      <c r="E145" s="6"/>
      <c r="F145" s="6"/>
    </row>
    <row r="146" spans="1:6">
      <c r="A146" s="7"/>
      <c r="C146" s="110"/>
      <c r="D146" s="6"/>
      <c r="E146" s="6"/>
      <c r="F146" s="6"/>
    </row>
    <row r="147" spans="1:6">
      <c r="A147" s="7"/>
      <c r="C147" s="110"/>
      <c r="D147" s="6"/>
      <c r="E147" s="6"/>
      <c r="F147" s="6"/>
    </row>
    <row r="148" spans="1:6">
      <c r="A148" s="7"/>
      <c r="C148" s="110"/>
      <c r="D148" s="6"/>
      <c r="E148" s="6"/>
      <c r="F148" s="6"/>
    </row>
    <row r="149" spans="1:6">
      <c r="A149" s="7"/>
      <c r="C149" s="110"/>
      <c r="D149" s="6"/>
      <c r="E149" s="6"/>
      <c r="F149" s="6"/>
    </row>
    <row r="150" spans="1:6">
      <c r="A150" s="7"/>
      <c r="C150" s="110"/>
      <c r="D150" s="6"/>
      <c r="E150" s="6"/>
      <c r="F150" s="6"/>
    </row>
    <row r="151" spans="1:6">
      <c r="A151" s="7"/>
      <c r="C151" s="110"/>
      <c r="D151" s="6"/>
      <c r="E151" s="6"/>
      <c r="F151" s="6"/>
    </row>
    <row r="152" spans="1:6">
      <c r="A152" s="7"/>
      <c r="C152" s="110"/>
      <c r="D152" s="6"/>
      <c r="E152" s="6"/>
      <c r="F152" s="6"/>
    </row>
    <row r="153" spans="1:6">
      <c r="A153" s="7"/>
      <c r="C153" s="110"/>
      <c r="D153" s="6"/>
      <c r="E153" s="6"/>
      <c r="F153" s="6"/>
    </row>
    <row r="154" spans="1:6">
      <c r="A154" s="7"/>
      <c r="C154" s="110"/>
      <c r="D154" s="6"/>
      <c r="E154" s="6"/>
      <c r="F154" s="6"/>
    </row>
    <row r="155" spans="1:6">
      <c r="A155" s="7"/>
      <c r="C155" s="110"/>
      <c r="D155" s="6"/>
      <c r="E155" s="6"/>
      <c r="F155" s="6"/>
    </row>
    <row r="156" spans="1:6">
      <c r="A156" s="7"/>
      <c r="C156" s="110"/>
      <c r="D156" s="6"/>
      <c r="E156" s="6"/>
      <c r="F156" s="6"/>
    </row>
    <row r="157" spans="1:6">
      <c r="A157" s="7"/>
      <c r="C157" s="110"/>
      <c r="D157" s="6"/>
      <c r="E157" s="6"/>
      <c r="F157" s="6"/>
    </row>
    <row r="158" spans="1:6">
      <c r="A158" s="7"/>
      <c r="C158" s="110"/>
      <c r="D158" s="6"/>
      <c r="E158" s="6"/>
      <c r="F158" s="6"/>
    </row>
    <row r="159" spans="1:6">
      <c r="A159" s="7"/>
      <c r="C159" s="110"/>
      <c r="D159" s="6"/>
      <c r="E159" s="6"/>
      <c r="F159" s="6"/>
    </row>
    <row r="160" spans="1:6">
      <c r="A160" s="7"/>
      <c r="C160" s="110"/>
      <c r="D160" s="6"/>
      <c r="E160" s="6"/>
      <c r="F160" s="6"/>
    </row>
    <row r="161" spans="1:6">
      <c r="A161" s="7"/>
      <c r="C161" s="110"/>
      <c r="D161" s="6"/>
      <c r="E161" s="6"/>
      <c r="F161" s="6"/>
    </row>
    <row r="162" spans="1:6">
      <c r="A162" s="7"/>
      <c r="C162" s="110"/>
      <c r="D162" s="6"/>
      <c r="E162" s="6"/>
      <c r="F162" s="6"/>
    </row>
    <row r="163" spans="1:6">
      <c r="A163" s="7"/>
      <c r="C163" s="110"/>
      <c r="D163" s="6"/>
      <c r="E163" s="6"/>
      <c r="F163" s="6"/>
    </row>
    <row r="164" spans="1:6">
      <c r="A164" s="7"/>
      <c r="C164" s="110"/>
      <c r="D164" s="6"/>
      <c r="E164" s="6"/>
      <c r="F164" s="6"/>
    </row>
    <row r="165" spans="1:6">
      <c r="A165" s="7"/>
      <c r="C165" s="110"/>
      <c r="D165" s="6"/>
      <c r="E165" s="6"/>
      <c r="F165" s="6"/>
    </row>
    <row r="166" spans="1:6">
      <c r="A166" s="7"/>
      <c r="C166" s="110"/>
      <c r="D166" s="6"/>
      <c r="E166" s="6"/>
      <c r="F166" s="6"/>
    </row>
    <row r="167" spans="1:6">
      <c r="A167" s="7"/>
      <c r="C167" s="110"/>
      <c r="D167" s="6"/>
      <c r="E167" s="6"/>
      <c r="F167" s="6"/>
    </row>
    <row r="168" spans="1:6">
      <c r="A168" s="7"/>
      <c r="C168" s="110"/>
      <c r="D168" s="6"/>
      <c r="E168" s="6"/>
      <c r="F168" s="6"/>
    </row>
    <row r="169" spans="1:6">
      <c r="A169" s="7"/>
      <c r="C169" s="110"/>
      <c r="D169" s="6"/>
      <c r="E169" s="6"/>
      <c r="F169" s="6"/>
    </row>
    <row r="170" spans="1:6">
      <c r="A170" s="7"/>
      <c r="C170" s="110"/>
      <c r="D170" s="6"/>
      <c r="E170" s="6"/>
      <c r="F170" s="6"/>
    </row>
    <row r="171" spans="1:6">
      <c r="A171" s="7"/>
      <c r="C171" s="110"/>
      <c r="D171" s="6"/>
      <c r="E171" s="6"/>
      <c r="F171" s="6"/>
    </row>
    <row r="172" spans="1:6">
      <c r="A172" s="7"/>
      <c r="C172" s="110"/>
      <c r="D172" s="6"/>
      <c r="E172" s="6"/>
      <c r="F172" s="6"/>
    </row>
    <row r="173" spans="1:6">
      <c r="A173" s="7"/>
      <c r="C173" s="110"/>
      <c r="D173" s="6"/>
      <c r="E173" s="6"/>
      <c r="F173" s="6"/>
    </row>
    <row r="174" spans="1:6">
      <c r="A174" s="7"/>
      <c r="C174" s="110"/>
      <c r="D174" s="6"/>
      <c r="E174" s="6"/>
      <c r="F174" s="6"/>
    </row>
    <row r="175" spans="1:6">
      <c r="A175" s="7"/>
      <c r="C175" s="110"/>
      <c r="D175" s="6"/>
      <c r="E175" s="6"/>
      <c r="F175" s="6"/>
    </row>
    <row r="176" spans="1:6">
      <c r="A176" s="7"/>
      <c r="C176" s="110"/>
      <c r="D176" s="6"/>
      <c r="E176" s="6"/>
      <c r="F176" s="6"/>
    </row>
    <row r="177" spans="1:6">
      <c r="A177" s="7"/>
      <c r="C177" s="110"/>
      <c r="D177" s="6"/>
      <c r="E177" s="6"/>
      <c r="F177" s="6"/>
    </row>
    <row r="178" spans="1:6">
      <c r="A178" s="7"/>
      <c r="C178" s="110"/>
      <c r="D178" s="6"/>
      <c r="E178" s="6"/>
      <c r="F178" s="6"/>
    </row>
    <row r="179" spans="1:6">
      <c r="A179" s="7"/>
      <c r="C179" s="110"/>
      <c r="D179" s="6"/>
      <c r="E179" s="6"/>
      <c r="F179" s="6"/>
    </row>
    <row r="180" spans="1:6">
      <c r="A180" s="7"/>
      <c r="C180" s="110"/>
      <c r="D180" s="6"/>
      <c r="E180" s="6"/>
      <c r="F180" s="6"/>
    </row>
    <row r="181" spans="1:6">
      <c r="A181" s="7"/>
      <c r="C181" s="110"/>
      <c r="D181" s="6"/>
      <c r="E181" s="6"/>
      <c r="F181" s="6"/>
    </row>
    <row r="182" spans="1:6">
      <c r="A182" s="7"/>
      <c r="C182" s="110"/>
      <c r="D182" s="6"/>
      <c r="E182" s="6"/>
      <c r="F182" s="6"/>
    </row>
    <row r="183" spans="1:6">
      <c r="A183" s="7"/>
      <c r="C183" s="110"/>
      <c r="D183" s="6"/>
      <c r="E183" s="6"/>
      <c r="F183" s="6"/>
    </row>
    <row r="184" spans="1:6">
      <c r="A184" s="7"/>
      <c r="C184" s="110"/>
      <c r="D184" s="6"/>
      <c r="E184" s="6"/>
      <c r="F184" s="6"/>
    </row>
    <row r="185" spans="1:6">
      <c r="A185" s="7"/>
      <c r="C185" s="110"/>
      <c r="D185" s="6"/>
      <c r="E185" s="6"/>
      <c r="F185" s="6"/>
    </row>
    <row r="186" spans="1:6">
      <c r="A186" s="7"/>
      <c r="C186" s="110"/>
      <c r="D186" s="6"/>
      <c r="E186" s="6"/>
      <c r="F186" s="6"/>
    </row>
    <row r="187" spans="1:6">
      <c r="A187" s="7"/>
    </row>
    <row r="188" spans="1:6">
      <c r="A188" s="7"/>
    </row>
    <row r="189" spans="1:6">
      <c r="A189" s="7"/>
    </row>
    <row r="190" spans="1:6">
      <c r="A190" s="7"/>
    </row>
    <row r="191" spans="1:6">
      <c r="A191" s="7"/>
    </row>
    <row r="192" spans="1:6">
      <c r="A192" s="7"/>
    </row>
    <row r="193" spans="1:1">
      <c r="A193" s="7"/>
    </row>
    <row r="194" spans="1:1">
      <c r="A194" s="7"/>
    </row>
    <row r="195" spans="1:1">
      <c r="A195" s="7"/>
    </row>
    <row r="196" spans="1:1">
      <c r="A196" s="7"/>
    </row>
    <row r="197" spans="1:1">
      <c r="A197" s="7"/>
    </row>
    <row r="198" spans="1:1">
      <c r="A198" s="7"/>
    </row>
    <row r="199" spans="1:1">
      <c r="A199" s="7"/>
    </row>
    <row r="200" spans="1:1">
      <c r="A200" s="7"/>
    </row>
    <row r="201" spans="1:1">
      <c r="A201" s="7"/>
    </row>
    <row r="202" spans="1:1">
      <c r="A202" s="7"/>
    </row>
    <row r="203" spans="1:1">
      <c r="A203" s="7"/>
    </row>
    <row r="204" spans="1:1">
      <c r="A204" s="7"/>
    </row>
    <row r="205" spans="1:1">
      <c r="A205" s="7"/>
    </row>
    <row r="206" spans="1:1">
      <c r="A206" s="7"/>
    </row>
    <row r="207" spans="1:1">
      <c r="A207" s="7"/>
    </row>
    <row r="208" spans="1:1">
      <c r="A208" s="7"/>
    </row>
    <row r="209" spans="1:1">
      <c r="A209" s="7"/>
    </row>
    <row r="210" spans="1:1">
      <c r="A210" s="7"/>
    </row>
    <row r="211" spans="1:1">
      <c r="A211" s="7"/>
    </row>
    <row r="212" spans="1:1">
      <c r="A212" s="7"/>
    </row>
    <row r="213" spans="1:1">
      <c r="A213" s="7"/>
    </row>
    <row r="214" spans="1:1">
      <c r="A214" s="7"/>
    </row>
    <row r="215" spans="1:1">
      <c r="A215" s="7"/>
    </row>
    <row r="216" spans="1:1">
      <c r="A216" s="7"/>
    </row>
    <row r="217" spans="1:1">
      <c r="A217" s="7"/>
    </row>
    <row r="218" spans="1:1">
      <c r="A218" s="7"/>
    </row>
    <row r="219" spans="1:1">
      <c r="A219" s="7"/>
    </row>
    <row r="220" spans="1:1">
      <c r="A220" s="7"/>
    </row>
    <row r="221" spans="1:1">
      <c r="A221" s="7"/>
    </row>
    <row r="222" spans="1:1">
      <c r="A222" s="7"/>
    </row>
    <row r="223" spans="1:1">
      <c r="A223" s="7"/>
    </row>
    <row r="224" spans="1:1">
      <c r="A224" s="7"/>
    </row>
    <row r="225" spans="1:1">
      <c r="A225" s="7"/>
    </row>
    <row r="226" spans="1:1">
      <c r="A226" s="7"/>
    </row>
    <row r="227" spans="1:1">
      <c r="A227" s="7"/>
    </row>
    <row r="228" spans="1:1">
      <c r="A228" s="7"/>
    </row>
    <row r="229" spans="1:1">
      <c r="A229" s="7"/>
    </row>
    <row r="230" spans="1:1">
      <c r="A230" s="7"/>
    </row>
    <row r="231" spans="1:1">
      <c r="A231" s="7"/>
    </row>
    <row r="232" spans="1:1">
      <c r="A232" s="7"/>
    </row>
    <row r="233" spans="1:1">
      <c r="A233" s="7"/>
    </row>
    <row r="234" spans="1:1">
      <c r="A234" s="7"/>
    </row>
    <row r="235" spans="1:1">
      <c r="A235" s="7"/>
    </row>
    <row r="236" spans="1:1">
      <c r="A236" s="7"/>
    </row>
    <row r="237" spans="1:1">
      <c r="A237" s="7"/>
    </row>
    <row r="238" spans="1:1">
      <c r="A238" s="7"/>
    </row>
    <row r="239" spans="1:1">
      <c r="A239" s="7"/>
    </row>
    <row r="240" spans="1:1">
      <c r="A240" s="7"/>
    </row>
    <row r="241" spans="1:1">
      <c r="A241" s="7"/>
    </row>
    <row r="242" spans="1:1">
      <c r="A242" s="7"/>
    </row>
    <row r="243" spans="1:1">
      <c r="A243" s="7"/>
    </row>
    <row r="244" spans="1:1">
      <c r="A244" s="7"/>
    </row>
    <row r="245" spans="1:1">
      <c r="A245" s="7"/>
    </row>
    <row r="246" spans="1:1">
      <c r="A246" s="7"/>
    </row>
    <row r="247" spans="1:1">
      <c r="A247" s="7"/>
    </row>
    <row r="248" spans="1:1">
      <c r="A248" s="7"/>
    </row>
    <row r="249" spans="1:1">
      <c r="A249" s="7"/>
    </row>
    <row r="250" spans="1:1">
      <c r="A250" s="7"/>
    </row>
    <row r="251" spans="1:1">
      <c r="A251" s="7"/>
    </row>
    <row r="252" spans="1:1">
      <c r="A252" s="7"/>
    </row>
    <row r="253" spans="1:1">
      <c r="A253" s="7"/>
    </row>
    <row r="254" spans="1:1">
      <c r="A254" s="7"/>
    </row>
    <row r="255" spans="1:1">
      <c r="A255" s="7"/>
    </row>
    <row r="256" spans="1:1">
      <c r="A256" s="7"/>
    </row>
    <row r="257" spans="1:1">
      <c r="A257" s="7"/>
    </row>
    <row r="258" spans="1:1">
      <c r="A258" s="7"/>
    </row>
    <row r="259" spans="1:1">
      <c r="A259" s="7"/>
    </row>
    <row r="260" spans="1:1">
      <c r="A260" s="7"/>
    </row>
    <row r="261" spans="1:1">
      <c r="A261" s="7"/>
    </row>
    <row r="262" spans="1:1">
      <c r="A262" s="7"/>
    </row>
    <row r="263" spans="1:1">
      <c r="A263" s="7"/>
    </row>
    <row r="264" spans="1:1">
      <c r="A264" s="7"/>
    </row>
    <row r="265" spans="1:1">
      <c r="A265" s="7"/>
    </row>
    <row r="266" spans="1:1">
      <c r="A266" s="7"/>
    </row>
    <row r="267" spans="1:1">
      <c r="A267" s="7"/>
    </row>
    <row r="268" spans="1:1">
      <c r="A268" s="7"/>
    </row>
    <row r="269" spans="1:1">
      <c r="A269" s="7"/>
    </row>
    <row r="270" spans="1:1">
      <c r="A270" s="7"/>
    </row>
    <row r="271" spans="1:1">
      <c r="A271" s="7"/>
    </row>
    <row r="272" spans="1:1">
      <c r="A272" s="7"/>
    </row>
    <row r="273" spans="1:1">
      <c r="A273" s="7"/>
    </row>
    <row r="274" spans="1:1">
      <c r="A274" s="7"/>
    </row>
    <row r="275" spans="1:1">
      <c r="A275" s="7"/>
    </row>
    <row r="276" spans="1:1">
      <c r="A276" s="7"/>
    </row>
    <row r="277" spans="1:1">
      <c r="A277" s="7"/>
    </row>
    <row r="278" spans="1:1">
      <c r="A278" s="7"/>
    </row>
    <row r="279" spans="1:1">
      <c r="A279" s="7"/>
    </row>
    <row r="280" spans="1:1">
      <c r="A280" s="7"/>
    </row>
    <row r="281" spans="1:1">
      <c r="A281" s="7"/>
    </row>
    <row r="282" spans="1:1">
      <c r="A282" s="7"/>
    </row>
    <row r="283" spans="1:1">
      <c r="A283" s="7"/>
    </row>
    <row r="284" spans="1:1">
      <c r="A284" s="7"/>
    </row>
    <row r="285" spans="1:1">
      <c r="A285" s="7"/>
    </row>
    <row r="286" spans="1:1">
      <c r="A286" s="7"/>
    </row>
    <row r="287" spans="1:1">
      <c r="A287" s="7"/>
    </row>
    <row r="288" spans="1:1">
      <c r="A288" s="7"/>
    </row>
    <row r="289" spans="1:1">
      <c r="A289" s="7"/>
    </row>
    <row r="290" spans="1:1">
      <c r="A290" s="7"/>
    </row>
    <row r="291" spans="1:1">
      <c r="A291" s="7"/>
    </row>
    <row r="292" spans="1:1">
      <c r="A292" s="7"/>
    </row>
    <row r="293" spans="1:1">
      <c r="A293" s="7"/>
    </row>
    <row r="294" spans="1:1">
      <c r="A294" s="7"/>
    </row>
    <row r="295" spans="1:1">
      <c r="A295" s="7"/>
    </row>
    <row r="296" spans="1:1">
      <c r="A296" s="7"/>
    </row>
    <row r="297" spans="1:1">
      <c r="A297" s="7"/>
    </row>
    <row r="298" spans="1:1">
      <c r="A298" s="7"/>
    </row>
    <row r="299" spans="1:1">
      <c r="A299" s="7"/>
    </row>
    <row r="300" spans="1:1">
      <c r="A300" s="7"/>
    </row>
    <row r="301" spans="1:1">
      <c r="A301" s="7"/>
    </row>
    <row r="302" spans="1:1">
      <c r="A302" s="7"/>
    </row>
    <row r="303" spans="1:1">
      <c r="A303" s="7"/>
    </row>
    <row r="304" spans="1:1">
      <c r="A304" s="7"/>
    </row>
    <row r="305" spans="1:1">
      <c r="A305" s="7"/>
    </row>
    <row r="306" spans="1:1">
      <c r="A306" s="7"/>
    </row>
    <row r="307" spans="1:1">
      <c r="A307" s="7"/>
    </row>
    <row r="308" spans="1:1">
      <c r="A308" s="7"/>
    </row>
    <row r="309" spans="1:1">
      <c r="A309" s="7"/>
    </row>
    <row r="310" spans="1:1">
      <c r="A310" s="7"/>
    </row>
    <row r="311" spans="1:1">
      <c r="A311" s="7"/>
    </row>
    <row r="312" spans="1:1">
      <c r="A312" s="7"/>
    </row>
    <row r="313" spans="1:1">
      <c r="A313" s="7"/>
    </row>
    <row r="314" spans="1:1">
      <c r="A314" s="7"/>
    </row>
    <row r="315" spans="1:1">
      <c r="A315" s="7"/>
    </row>
    <row r="316" spans="1:1">
      <c r="A316" s="7"/>
    </row>
    <row r="317" spans="1:1">
      <c r="A317" s="7"/>
    </row>
    <row r="318" spans="1:1">
      <c r="A318" s="7"/>
    </row>
    <row r="319" spans="1:1">
      <c r="A319" s="7"/>
    </row>
    <row r="320" spans="1:1">
      <c r="A320" s="7"/>
    </row>
    <row r="321" spans="1:1">
      <c r="A321" s="7"/>
    </row>
    <row r="322" spans="1:1">
      <c r="A322" s="7"/>
    </row>
    <row r="323" spans="1:1">
      <c r="A323" s="7"/>
    </row>
    <row r="324" spans="1:1">
      <c r="A324" s="7"/>
    </row>
    <row r="325" spans="1:1">
      <c r="A325" s="7"/>
    </row>
    <row r="326" spans="1:1">
      <c r="A326" s="7"/>
    </row>
    <row r="327" spans="1:1">
      <c r="A327" s="7"/>
    </row>
    <row r="328" spans="1:1">
      <c r="A328" s="7"/>
    </row>
    <row r="329" spans="1:1">
      <c r="A329" s="7"/>
    </row>
    <row r="330" spans="1:1">
      <c r="A330" s="7"/>
    </row>
    <row r="331" spans="1:1">
      <c r="A331" s="7"/>
    </row>
    <row r="332" spans="1:1">
      <c r="A332" s="7"/>
    </row>
    <row r="333" spans="1:1">
      <c r="A333" s="7"/>
    </row>
    <row r="334" spans="1:1">
      <c r="A334" s="7"/>
    </row>
    <row r="335" spans="1:1">
      <c r="A335" s="7"/>
    </row>
    <row r="336" spans="1:1">
      <c r="A336" s="7"/>
    </row>
    <row r="337" spans="1:1">
      <c r="A337" s="7"/>
    </row>
    <row r="338" spans="1:1">
      <c r="A338" s="7"/>
    </row>
    <row r="339" spans="1:1">
      <c r="A339" s="7"/>
    </row>
    <row r="340" spans="1:1">
      <c r="A340" s="7"/>
    </row>
    <row r="341" spans="1:1">
      <c r="A341" s="7"/>
    </row>
    <row r="342" spans="1:1">
      <c r="A342" s="7"/>
    </row>
    <row r="343" spans="1:1">
      <c r="A343" s="7"/>
    </row>
    <row r="344" spans="1:1">
      <c r="A344" s="7"/>
    </row>
    <row r="345" spans="1:1">
      <c r="A345" s="7"/>
    </row>
    <row r="346" spans="1:1">
      <c r="A346" s="7"/>
    </row>
    <row r="347" spans="1:1">
      <c r="A347" s="7"/>
    </row>
    <row r="348" spans="1:1">
      <c r="A348" s="7"/>
    </row>
    <row r="349" spans="1:1">
      <c r="A349" s="7"/>
    </row>
    <row r="350" spans="1:1">
      <c r="A350" s="7"/>
    </row>
    <row r="351" spans="1:1">
      <c r="A351" s="7"/>
    </row>
    <row r="352" spans="1:1">
      <c r="A352" s="7"/>
    </row>
    <row r="353" spans="1:1">
      <c r="A353" s="7"/>
    </row>
    <row r="354" spans="1:1">
      <c r="A354" s="7"/>
    </row>
  </sheetData>
  <mergeCells count="8">
    <mergeCell ref="C131:D131"/>
    <mergeCell ref="C132:D132"/>
    <mergeCell ref="A1:F1"/>
    <mergeCell ref="E131:G131"/>
    <mergeCell ref="J115:L115"/>
    <mergeCell ref="J116:L116"/>
    <mergeCell ref="J117:L117"/>
    <mergeCell ref="E132:G132"/>
  </mergeCells>
  <hyperlinks>
    <hyperlink ref="A128" r:id="rId1" display="https://www.dzo.com.ua/tenders/20078403"/>
  </hyperlinks>
  <pageMargins left="0.39370078740157483" right="0.39370078740157483" top="0.59055118110236227" bottom="0.39370078740157483" header="0.19685039370078741" footer="0.19685039370078741"/>
  <pageSetup paperSize="9" scale="86" fitToHeight="10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P119"/>
  <sheetViews>
    <sheetView view="pageBreakPreview" topLeftCell="A4" zoomScale="60" zoomScaleNormal="60" workbookViewId="0">
      <selection activeCell="Y17" sqref="Y17"/>
    </sheetView>
  </sheetViews>
  <sheetFormatPr defaultRowHeight="20.25"/>
  <cols>
    <col min="1" max="1" width="9.85546875" style="1" customWidth="1"/>
    <col min="2" max="2" width="26.140625" style="10" customWidth="1"/>
    <col min="3" max="3" width="11.28515625" style="10" customWidth="1"/>
    <col min="4" max="4" width="15.28515625" style="10" customWidth="1"/>
    <col min="5" max="10" width="18.42578125" style="1" customWidth="1"/>
    <col min="11" max="11" width="18.7109375" style="1" customWidth="1"/>
    <col min="12" max="12" width="19" style="1" customWidth="1"/>
    <col min="13" max="13" width="18.42578125" style="1" customWidth="1"/>
    <col min="14" max="14" width="18.42578125" style="177" customWidth="1"/>
    <col min="15" max="15" width="19.42578125" style="177" customWidth="1"/>
    <col min="16" max="16" width="19.42578125" style="1" customWidth="1"/>
    <col min="17" max="24" width="9.140625" style="1"/>
    <col min="25" max="25" width="15.5703125" style="1" bestFit="1" customWidth="1"/>
    <col min="26" max="16384" width="9.140625" style="1"/>
  </cols>
  <sheetData>
    <row r="1" spans="1:16">
      <c r="A1" s="207"/>
      <c r="B1" s="211"/>
      <c r="C1" s="211"/>
      <c r="D1" s="211"/>
      <c r="E1" s="207"/>
      <c r="F1" s="207"/>
      <c r="G1" s="207"/>
      <c r="H1" s="207"/>
      <c r="I1" s="93"/>
      <c r="J1" s="93"/>
      <c r="P1" s="93"/>
    </row>
    <row r="2" spans="1:16" s="9" customFormat="1" ht="42.75" customHeight="1">
      <c r="B2" s="199"/>
      <c r="C2" s="199"/>
      <c r="D2" s="284" t="s">
        <v>215</v>
      </c>
      <c r="E2" s="284"/>
      <c r="F2" s="284"/>
      <c r="G2" s="284"/>
      <c r="H2" s="284"/>
      <c r="I2" s="284"/>
      <c r="J2" s="284"/>
      <c r="K2" s="284"/>
      <c r="L2" s="284"/>
      <c r="M2" s="284"/>
    </row>
    <row r="3" spans="1:16">
      <c r="A3" s="94"/>
      <c r="B3" s="200"/>
      <c r="C3" s="200"/>
      <c r="D3" s="200"/>
      <c r="E3" s="95"/>
      <c r="F3" s="95"/>
      <c r="G3" s="95"/>
      <c r="H3" s="95"/>
      <c r="I3" s="95"/>
      <c r="J3" s="95"/>
      <c r="P3" s="93" t="s">
        <v>51</v>
      </c>
    </row>
    <row r="4" spans="1:16" ht="79.5" customHeight="1">
      <c r="A4" s="238" t="s">
        <v>8</v>
      </c>
      <c r="B4" s="276" t="s">
        <v>20</v>
      </c>
      <c r="C4" s="276"/>
      <c r="D4" s="276"/>
      <c r="E4" s="238" t="s">
        <v>131</v>
      </c>
      <c r="F4" s="238"/>
      <c r="G4" s="238" t="s">
        <v>420</v>
      </c>
      <c r="H4" s="238"/>
      <c r="I4" s="238" t="s">
        <v>132</v>
      </c>
      <c r="J4" s="238"/>
      <c r="K4" s="238" t="s">
        <v>250</v>
      </c>
      <c r="L4" s="238"/>
      <c r="M4" s="238" t="s">
        <v>133</v>
      </c>
      <c r="N4" s="238"/>
      <c r="O4" s="238"/>
      <c r="P4" s="238"/>
    </row>
    <row r="5" spans="1:16" ht="85.5" customHeight="1">
      <c r="A5" s="238"/>
      <c r="B5" s="276"/>
      <c r="C5" s="276"/>
      <c r="D5" s="276"/>
      <c r="E5" s="172" t="s">
        <v>315</v>
      </c>
      <c r="F5" s="172" t="s">
        <v>316</v>
      </c>
      <c r="G5" s="172" t="s">
        <v>315</v>
      </c>
      <c r="H5" s="172" t="s">
        <v>316</v>
      </c>
      <c r="I5" s="172" t="s">
        <v>315</v>
      </c>
      <c r="J5" s="172" t="s">
        <v>316</v>
      </c>
      <c r="K5" s="172" t="s">
        <v>315</v>
      </c>
      <c r="L5" s="172" t="s">
        <v>316</v>
      </c>
      <c r="M5" s="172" t="s">
        <v>315</v>
      </c>
      <c r="N5" s="172" t="s">
        <v>316</v>
      </c>
      <c r="O5" s="208" t="s">
        <v>108</v>
      </c>
      <c r="P5" s="208" t="s">
        <v>111</v>
      </c>
    </row>
    <row r="6" spans="1:16" ht="30" customHeight="1">
      <c r="A6" s="208">
        <v>1</v>
      </c>
      <c r="B6" s="276">
        <v>2</v>
      </c>
      <c r="C6" s="276"/>
      <c r="D6" s="276"/>
      <c r="E6" s="208">
        <v>4</v>
      </c>
      <c r="F6" s="208">
        <v>5</v>
      </c>
      <c r="G6" s="208">
        <v>7</v>
      </c>
      <c r="H6" s="208">
        <v>8</v>
      </c>
      <c r="I6" s="208">
        <v>10</v>
      </c>
      <c r="J6" s="208">
        <v>11</v>
      </c>
      <c r="K6" s="209">
        <v>13</v>
      </c>
      <c r="L6" s="209">
        <v>14</v>
      </c>
      <c r="M6" s="209">
        <v>16</v>
      </c>
      <c r="N6" s="209">
        <v>17</v>
      </c>
      <c r="O6" s="209">
        <v>18</v>
      </c>
      <c r="P6" s="209">
        <v>19</v>
      </c>
    </row>
    <row r="7" spans="1:16" ht="48" customHeight="1">
      <c r="A7" s="210" t="s">
        <v>85</v>
      </c>
      <c r="B7" s="257" t="s">
        <v>95</v>
      </c>
      <c r="C7" s="258"/>
      <c r="D7" s="258"/>
      <c r="E7" s="14">
        <f t="shared" ref="E7:K7" si="0">SUM(E8:E26)</f>
        <v>0</v>
      </c>
      <c r="F7" s="14">
        <f t="shared" si="0"/>
        <v>0</v>
      </c>
      <c r="G7" s="14">
        <f t="shared" si="0"/>
        <v>1750</v>
      </c>
      <c r="H7" s="14">
        <f t="shared" si="0"/>
        <v>1816.2</v>
      </c>
      <c r="I7" s="14">
        <f t="shared" si="0"/>
        <v>0</v>
      </c>
      <c r="J7" s="14">
        <f t="shared" si="0"/>
        <v>224.9</v>
      </c>
      <c r="K7" s="14">
        <f t="shared" si="0"/>
        <v>0</v>
      </c>
      <c r="L7" s="14">
        <f>SUM(L8:L26)</f>
        <v>4992.9999999999991</v>
      </c>
      <c r="M7" s="14">
        <f>E7+G7+I7+K7</f>
        <v>1750</v>
      </c>
      <c r="N7" s="14">
        <f>F7+H7+J7+L7</f>
        <v>7034.0999999999995</v>
      </c>
      <c r="O7" s="14">
        <f>N7-M7</f>
        <v>5284.0999999999995</v>
      </c>
      <c r="P7" s="14">
        <f>(N7/M7)*100</f>
        <v>401.94857142857137</v>
      </c>
    </row>
    <row r="8" spans="1:16" ht="34.5" customHeight="1">
      <c r="A8" s="210"/>
      <c r="B8" s="277" t="s">
        <v>259</v>
      </c>
      <c r="C8" s="277"/>
      <c r="D8" s="277"/>
      <c r="E8" s="18"/>
      <c r="F8" s="18"/>
      <c r="G8" s="18">
        <v>1750</v>
      </c>
      <c r="H8" s="18"/>
      <c r="I8" s="18"/>
      <c r="J8" s="18"/>
      <c r="K8" s="18"/>
      <c r="L8" s="18"/>
      <c r="M8" s="14">
        <f t="shared" ref="M8:M71" si="1">E8+G8+I8+K8</f>
        <v>1750</v>
      </c>
      <c r="N8" s="18">
        <f t="shared" ref="N8:N71" si="2">F8+H8+J8+L8</f>
        <v>0</v>
      </c>
      <c r="O8" s="18">
        <f t="shared" ref="O8:O71" si="3">N8-M8</f>
        <v>-1750</v>
      </c>
      <c r="P8" s="14">
        <f t="shared" ref="P8:P71" si="4">(N8/M8)*100</f>
        <v>0</v>
      </c>
    </row>
    <row r="9" spans="1:16" ht="48" customHeight="1">
      <c r="A9" s="210"/>
      <c r="B9" s="260" t="s">
        <v>395</v>
      </c>
      <c r="C9" s="261"/>
      <c r="D9" s="262"/>
      <c r="E9" s="18"/>
      <c r="F9" s="18"/>
      <c r="G9" s="18"/>
      <c r="H9" s="18"/>
      <c r="I9" s="18"/>
      <c r="J9" s="18">
        <v>29.9</v>
      </c>
      <c r="K9" s="18"/>
      <c r="L9" s="18"/>
      <c r="M9" s="14">
        <f t="shared" si="1"/>
        <v>0</v>
      </c>
      <c r="N9" s="18">
        <f t="shared" si="2"/>
        <v>29.9</v>
      </c>
      <c r="O9" s="18">
        <f t="shared" si="3"/>
        <v>29.9</v>
      </c>
      <c r="P9" s="96" t="e">
        <f t="shared" si="4"/>
        <v>#DIV/0!</v>
      </c>
    </row>
    <row r="10" spans="1:16" ht="48" customHeight="1">
      <c r="A10" s="210"/>
      <c r="B10" s="260" t="s">
        <v>396</v>
      </c>
      <c r="C10" s="261"/>
      <c r="D10" s="262"/>
      <c r="E10" s="18"/>
      <c r="F10" s="18"/>
      <c r="G10" s="18"/>
      <c r="H10" s="18"/>
      <c r="I10" s="18"/>
      <c r="J10" s="18">
        <v>195</v>
      </c>
      <c r="K10" s="18"/>
      <c r="L10" s="18"/>
      <c r="M10" s="14">
        <f t="shared" si="1"/>
        <v>0</v>
      </c>
      <c r="N10" s="18">
        <f t="shared" si="2"/>
        <v>195</v>
      </c>
      <c r="O10" s="18">
        <f t="shared" si="3"/>
        <v>195</v>
      </c>
      <c r="P10" s="96" t="e">
        <f t="shared" si="4"/>
        <v>#DIV/0!</v>
      </c>
    </row>
    <row r="11" spans="1:16" ht="48" customHeight="1">
      <c r="A11" s="210"/>
      <c r="B11" s="260" t="s">
        <v>417</v>
      </c>
      <c r="C11" s="261"/>
      <c r="D11" s="262"/>
      <c r="E11" s="18"/>
      <c r="F11" s="18"/>
      <c r="G11" s="18"/>
      <c r="H11" s="18"/>
      <c r="I11" s="18"/>
      <c r="J11" s="18"/>
      <c r="K11" s="18"/>
      <c r="L11" s="18">
        <v>250.5</v>
      </c>
      <c r="M11" s="14">
        <f t="shared" si="1"/>
        <v>0</v>
      </c>
      <c r="N11" s="18">
        <f t="shared" si="2"/>
        <v>250.5</v>
      </c>
      <c r="O11" s="18">
        <f t="shared" si="3"/>
        <v>250.5</v>
      </c>
      <c r="P11" s="96" t="e">
        <f t="shared" si="4"/>
        <v>#DIV/0!</v>
      </c>
    </row>
    <row r="12" spans="1:16" ht="26.25" customHeight="1">
      <c r="A12" s="210"/>
      <c r="B12" s="260" t="s">
        <v>398</v>
      </c>
      <c r="C12" s="261"/>
      <c r="D12" s="262"/>
      <c r="E12" s="18"/>
      <c r="F12" s="18"/>
      <c r="G12" s="18"/>
      <c r="H12" s="18"/>
      <c r="I12" s="18"/>
      <c r="J12" s="18"/>
      <c r="K12" s="18"/>
      <c r="L12" s="18">
        <v>42.1</v>
      </c>
      <c r="M12" s="14">
        <f t="shared" si="1"/>
        <v>0</v>
      </c>
      <c r="N12" s="18">
        <f t="shared" si="2"/>
        <v>42.1</v>
      </c>
      <c r="O12" s="18">
        <f t="shared" si="3"/>
        <v>42.1</v>
      </c>
      <c r="P12" s="96" t="e">
        <f t="shared" si="4"/>
        <v>#DIV/0!</v>
      </c>
    </row>
    <row r="13" spans="1:16" ht="26.25" customHeight="1">
      <c r="A13" s="210"/>
      <c r="B13" s="260" t="s">
        <v>399</v>
      </c>
      <c r="C13" s="261"/>
      <c r="D13" s="262"/>
      <c r="E13" s="18"/>
      <c r="F13" s="18"/>
      <c r="G13" s="18"/>
      <c r="H13" s="18"/>
      <c r="I13" s="18"/>
      <c r="J13" s="18"/>
      <c r="K13" s="18"/>
      <c r="L13" s="18">
        <v>32.9</v>
      </c>
      <c r="M13" s="14">
        <f t="shared" si="1"/>
        <v>0</v>
      </c>
      <c r="N13" s="18">
        <f t="shared" si="2"/>
        <v>32.9</v>
      </c>
      <c r="O13" s="18">
        <f t="shared" si="3"/>
        <v>32.9</v>
      </c>
      <c r="P13" s="96" t="e">
        <f t="shared" si="4"/>
        <v>#DIV/0!</v>
      </c>
    </row>
    <row r="14" spans="1:16" ht="26.25" customHeight="1">
      <c r="A14" s="210"/>
      <c r="B14" s="260" t="s">
        <v>400</v>
      </c>
      <c r="C14" s="261"/>
      <c r="D14" s="262"/>
      <c r="E14" s="18"/>
      <c r="F14" s="18"/>
      <c r="G14" s="18"/>
      <c r="H14" s="18"/>
      <c r="I14" s="18"/>
      <c r="J14" s="18"/>
      <c r="K14" s="18"/>
      <c r="L14" s="18">
        <v>48.7</v>
      </c>
      <c r="M14" s="14">
        <f t="shared" si="1"/>
        <v>0</v>
      </c>
      <c r="N14" s="18">
        <f t="shared" si="2"/>
        <v>48.7</v>
      </c>
      <c r="O14" s="18">
        <f t="shared" si="3"/>
        <v>48.7</v>
      </c>
      <c r="P14" s="96" t="e">
        <f t="shared" si="4"/>
        <v>#DIV/0!</v>
      </c>
    </row>
    <row r="15" spans="1:16" ht="72" customHeight="1">
      <c r="A15" s="210"/>
      <c r="B15" s="260" t="s">
        <v>401</v>
      </c>
      <c r="C15" s="261"/>
      <c r="D15" s="262"/>
      <c r="E15" s="18"/>
      <c r="F15" s="18"/>
      <c r="G15" s="18"/>
      <c r="H15" s="18"/>
      <c r="I15" s="18"/>
      <c r="J15" s="18"/>
      <c r="K15" s="18"/>
      <c r="L15" s="18">
        <v>1621.6</v>
      </c>
      <c r="M15" s="14">
        <f t="shared" si="1"/>
        <v>0</v>
      </c>
      <c r="N15" s="18">
        <f t="shared" si="2"/>
        <v>1621.6</v>
      </c>
      <c r="O15" s="18">
        <f t="shared" si="3"/>
        <v>1621.6</v>
      </c>
      <c r="P15" s="96" t="e">
        <f t="shared" si="4"/>
        <v>#DIV/0!</v>
      </c>
    </row>
    <row r="16" spans="1:16" ht="102.75" customHeight="1">
      <c r="A16" s="210"/>
      <c r="B16" s="260" t="s">
        <v>402</v>
      </c>
      <c r="C16" s="261"/>
      <c r="D16" s="262"/>
      <c r="E16" s="18"/>
      <c r="F16" s="18"/>
      <c r="G16" s="18"/>
      <c r="H16" s="18"/>
      <c r="I16" s="18"/>
      <c r="J16" s="18"/>
      <c r="K16" s="18"/>
      <c r="L16" s="18">
        <v>1666</v>
      </c>
      <c r="M16" s="14">
        <f t="shared" si="1"/>
        <v>0</v>
      </c>
      <c r="N16" s="18">
        <f t="shared" si="2"/>
        <v>1666</v>
      </c>
      <c r="O16" s="18">
        <f t="shared" si="3"/>
        <v>1666</v>
      </c>
      <c r="P16" s="96" t="e">
        <f t="shared" si="4"/>
        <v>#DIV/0!</v>
      </c>
    </row>
    <row r="17" spans="1:16" ht="48" customHeight="1">
      <c r="A17" s="210"/>
      <c r="B17" s="260" t="s">
        <v>403</v>
      </c>
      <c r="C17" s="261"/>
      <c r="D17" s="262"/>
      <c r="E17" s="18"/>
      <c r="F17" s="18"/>
      <c r="G17" s="18"/>
      <c r="H17" s="18"/>
      <c r="I17" s="18"/>
      <c r="J17" s="18"/>
      <c r="K17" s="18"/>
      <c r="L17" s="18">
        <v>331</v>
      </c>
      <c r="M17" s="14">
        <f t="shared" si="1"/>
        <v>0</v>
      </c>
      <c r="N17" s="18">
        <f t="shared" si="2"/>
        <v>331</v>
      </c>
      <c r="O17" s="18">
        <f t="shared" si="3"/>
        <v>331</v>
      </c>
      <c r="P17" s="96" t="e">
        <f t="shared" si="4"/>
        <v>#DIV/0!</v>
      </c>
    </row>
    <row r="18" spans="1:16" ht="48" customHeight="1">
      <c r="A18" s="210"/>
      <c r="B18" s="260" t="s">
        <v>404</v>
      </c>
      <c r="C18" s="261"/>
      <c r="D18" s="262"/>
      <c r="E18" s="18"/>
      <c r="F18" s="18"/>
      <c r="G18" s="18"/>
      <c r="H18" s="18"/>
      <c r="I18" s="18"/>
      <c r="J18" s="18"/>
      <c r="K18" s="18"/>
      <c r="L18" s="18">
        <v>49.1</v>
      </c>
      <c r="M18" s="14">
        <f t="shared" si="1"/>
        <v>0</v>
      </c>
      <c r="N18" s="18">
        <f t="shared" si="2"/>
        <v>49.1</v>
      </c>
      <c r="O18" s="18">
        <f t="shared" si="3"/>
        <v>49.1</v>
      </c>
      <c r="P18" s="96" t="e">
        <f t="shared" si="4"/>
        <v>#DIV/0!</v>
      </c>
    </row>
    <row r="19" spans="1:16" ht="30.75" customHeight="1">
      <c r="A19" s="210"/>
      <c r="B19" s="260" t="s">
        <v>405</v>
      </c>
      <c r="C19" s="261"/>
      <c r="D19" s="262"/>
      <c r="E19" s="18"/>
      <c r="F19" s="18"/>
      <c r="G19" s="18"/>
      <c r="H19" s="18"/>
      <c r="I19" s="18"/>
      <c r="J19" s="18"/>
      <c r="K19" s="18"/>
      <c r="L19" s="18">
        <v>56.4</v>
      </c>
      <c r="M19" s="14">
        <f t="shared" si="1"/>
        <v>0</v>
      </c>
      <c r="N19" s="18">
        <f t="shared" si="2"/>
        <v>56.4</v>
      </c>
      <c r="O19" s="18">
        <f t="shared" si="3"/>
        <v>56.4</v>
      </c>
      <c r="P19" s="96" t="e">
        <f t="shared" si="4"/>
        <v>#DIV/0!</v>
      </c>
    </row>
    <row r="20" spans="1:16" ht="26.25" customHeight="1">
      <c r="A20" s="210"/>
      <c r="B20" s="260" t="s">
        <v>406</v>
      </c>
      <c r="C20" s="261"/>
      <c r="D20" s="262"/>
      <c r="E20" s="18"/>
      <c r="F20" s="18"/>
      <c r="G20" s="18"/>
      <c r="H20" s="18">
        <v>75</v>
      </c>
      <c r="I20" s="18"/>
      <c r="J20" s="18"/>
      <c r="K20" s="18"/>
      <c r="L20" s="18"/>
      <c r="M20" s="14">
        <f t="shared" si="1"/>
        <v>0</v>
      </c>
      <c r="N20" s="18">
        <f t="shared" si="2"/>
        <v>75</v>
      </c>
      <c r="O20" s="18">
        <f t="shared" si="3"/>
        <v>75</v>
      </c>
      <c r="P20" s="96" t="e">
        <f t="shared" si="4"/>
        <v>#DIV/0!</v>
      </c>
    </row>
    <row r="21" spans="1:16" ht="33" customHeight="1">
      <c r="A21" s="210"/>
      <c r="B21" s="260" t="s">
        <v>407</v>
      </c>
      <c r="C21" s="261"/>
      <c r="D21" s="262"/>
      <c r="E21" s="18"/>
      <c r="F21" s="18"/>
      <c r="G21" s="18"/>
      <c r="H21" s="18">
        <v>41.2</v>
      </c>
      <c r="I21" s="18"/>
      <c r="J21" s="18"/>
      <c r="K21" s="18"/>
      <c r="L21" s="18"/>
      <c r="M21" s="14">
        <f t="shared" si="1"/>
        <v>0</v>
      </c>
      <c r="N21" s="18">
        <f t="shared" si="2"/>
        <v>41.2</v>
      </c>
      <c r="O21" s="18">
        <f t="shared" si="3"/>
        <v>41.2</v>
      </c>
      <c r="P21" s="96" t="e">
        <f t="shared" si="4"/>
        <v>#DIV/0!</v>
      </c>
    </row>
    <row r="22" spans="1:16" ht="48" customHeight="1">
      <c r="A22" s="210"/>
      <c r="B22" s="260" t="s">
        <v>408</v>
      </c>
      <c r="C22" s="261"/>
      <c r="D22" s="262"/>
      <c r="E22" s="18"/>
      <c r="F22" s="18"/>
      <c r="G22" s="18"/>
      <c r="H22" s="18">
        <v>1700</v>
      </c>
      <c r="I22" s="18"/>
      <c r="J22" s="18"/>
      <c r="K22" s="18"/>
      <c r="L22" s="18"/>
      <c r="M22" s="14">
        <f t="shared" si="1"/>
        <v>0</v>
      </c>
      <c r="N22" s="18">
        <f t="shared" si="2"/>
        <v>1700</v>
      </c>
      <c r="O22" s="18">
        <f t="shared" si="3"/>
        <v>1700</v>
      </c>
      <c r="P22" s="96" t="e">
        <f t="shared" si="4"/>
        <v>#DIV/0!</v>
      </c>
    </row>
    <row r="23" spans="1:16" ht="48" customHeight="1">
      <c r="A23" s="210"/>
      <c r="B23" s="260" t="s">
        <v>409</v>
      </c>
      <c r="C23" s="261"/>
      <c r="D23" s="262"/>
      <c r="E23" s="18"/>
      <c r="F23" s="18"/>
      <c r="G23" s="18"/>
      <c r="H23" s="18"/>
      <c r="I23" s="18"/>
      <c r="J23" s="18"/>
      <c r="K23" s="18"/>
      <c r="L23" s="18">
        <v>35.4</v>
      </c>
      <c r="M23" s="14">
        <f t="shared" si="1"/>
        <v>0</v>
      </c>
      <c r="N23" s="18">
        <f t="shared" si="2"/>
        <v>35.4</v>
      </c>
      <c r="O23" s="18">
        <f t="shared" si="3"/>
        <v>35.4</v>
      </c>
      <c r="P23" s="96" t="e">
        <f t="shared" si="4"/>
        <v>#DIV/0!</v>
      </c>
    </row>
    <row r="24" spans="1:16" ht="33.75" customHeight="1">
      <c r="A24" s="210"/>
      <c r="B24" s="260" t="s">
        <v>410</v>
      </c>
      <c r="C24" s="261"/>
      <c r="D24" s="262"/>
      <c r="E24" s="18"/>
      <c r="F24" s="18"/>
      <c r="G24" s="18"/>
      <c r="H24" s="18"/>
      <c r="I24" s="18"/>
      <c r="J24" s="18"/>
      <c r="K24" s="18"/>
      <c r="L24" s="18">
        <v>780</v>
      </c>
      <c r="M24" s="14">
        <f t="shared" si="1"/>
        <v>0</v>
      </c>
      <c r="N24" s="18">
        <f t="shared" si="2"/>
        <v>780</v>
      </c>
      <c r="O24" s="18">
        <f t="shared" si="3"/>
        <v>780</v>
      </c>
      <c r="P24" s="96" t="e">
        <f t="shared" si="4"/>
        <v>#DIV/0!</v>
      </c>
    </row>
    <row r="25" spans="1:16" ht="36.75" customHeight="1">
      <c r="A25" s="210"/>
      <c r="B25" s="260" t="s">
        <v>411</v>
      </c>
      <c r="C25" s="261"/>
      <c r="D25" s="262"/>
      <c r="E25" s="18"/>
      <c r="F25" s="18"/>
      <c r="G25" s="18"/>
      <c r="H25" s="18"/>
      <c r="I25" s="18"/>
      <c r="J25" s="18"/>
      <c r="K25" s="18"/>
      <c r="L25" s="18">
        <v>34.4</v>
      </c>
      <c r="M25" s="14">
        <f t="shared" si="1"/>
        <v>0</v>
      </c>
      <c r="N25" s="18">
        <f t="shared" si="2"/>
        <v>34.4</v>
      </c>
      <c r="O25" s="18">
        <f t="shared" si="3"/>
        <v>34.4</v>
      </c>
      <c r="P25" s="96" t="e">
        <f t="shared" si="4"/>
        <v>#DIV/0!</v>
      </c>
    </row>
    <row r="26" spans="1:16" ht="48" customHeight="1">
      <c r="A26" s="210"/>
      <c r="B26" s="260" t="s">
        <v>412</v>
      </c>
      <c r="C26" s="261"/>
      <c r="D26" s="262"/>
      <c r="E26" s="18"/>
      <c r="F26" s="18"/>
      <c r="G26" s="18"/>
      <c r="H26" s="18"/>
      <c r="I26" s="18"/>
      <c r="J26" s="18"/>
      <c r="K26" s="18"/>
      <c r="L26" s="18">
        <v>44.9</v>
      </c>
      <c r="M26" s="14">
        <f t="shared" si="1"/>
        <v>0</v>
      </c>
      <c r="N26" s="18">
        <f t="shared" si="2"/>
        <v>44.9</v>
      </c>
      <c r="O26" s="18">
        <f t="shared" si="3"/>
        <v>44.9</v>
      </c>
      <c r="P26" s="96" t="e">
        <f t="shared" si="4"/>
        <v>#DIV/0!</v>
      </c>
    </row>
    <row r="27" spans="1:16" ht="62.25" customHeight="1">
      <c r="A27" s="210" t="s">
        <v>94</v>
      </c>
      <c r="B27" s="275" t="s">
        <v>96</v>
      </c>
      <c r="C27" s="275"/>
      <c r="D27" s="275"/>
      <c r="E27" s="14">
        <f>SUM(E45:E92)</f>
        <v>0</v>
      </c>
      <c r="F27" s="14">
        <f t="shared" ref="F27:L27" si="5">SUM(F45:F92)</f>
        <v>0</v>
      </c>
      <c r="G27" s="14">
        <f t="shared" si="5"/>
        <v>0</v>
      </c>
      <c r="H27" s="14">
        <f t="shared" si="5"/>
        <v>0</v>
      </c>
      <c r="I27" s="14">
        <f t="shared" si="5"/>
        <v>0</v>
      </c>
      <c r="J27" s="14">
        <f t="shared" si="5"/>
        <v>89.3</v>
      </c>
      <c r="K27" s="14">
        <f t="shared" si="5"/>
        <v>0</v>
      </c>
      <c r="L27" s="14">
        <f t="shared" si="5"/>
        <v>129.4</v>
      </c>
      <c r="M27" s="14">
        <f t="shared" si="1"/>
        <v>0</v>
      </c>
      <c r="N27" s="14">
        <f t="shared" si="2"/>
        <v>218.7</v>
      </c>
      <c r="O27" s="14">
        <f t="shared" si="3"/>
        <v>218.7</v>
      </c>
      <c r="P27" s="96" t="e">
        <f t="shared" si="4"/>
        <v>#DIV/0!</v>
      </c>
    </row>
    <row r="28" spans="1:16" ht="79.5" hidden="1" customHeight="1">
      <c r="A28" s="210"/>
      <c r="B28" s="278" t="s">
        <v>351</v>
      </c>
      <c r="C28" s="279"/>
      <c r="D28" s="280"/>
      <c r="E28" s="14"/>
      <c r="F28" s="14"/>
      <c r="G28" s="14"/>
      <c r="H28" s="14"/>
      <c r="I28" s="14"/>
      <c r="J28" s="14"/>
      <c r="K28" s="14"/>
      <c r="L28" s="14"/>
      <c r="M28" s="14">
        <f t="shared" si="1"/>
        <v>0</v>
      </c>
      <c r="N28" s="14">
        <f t="shared" si="2"/>
        <v>0</v>
      </c>
      <c r="O28" s="14">
        <f t="shared" si="3"/>
        <v>0</v>
      </c>
      <c r="P28" s="96" t="e">
        <f t="shared" si="4"/>
        <v>#DIV/0!</v>
      </c>
    </row>
    <row r="29" spans="1:16" ht="79.5" hidden="1" customHeight="1">
      <c r="A29" s="210"/>
      <c r="B29" s="278" t="s">
        <v>352</v>
      </c>
      <c r="C29" s="279"/>
      <c r="D29" s="280"/>
      <c r="E29" s="14"/>
      <c r="F29" s="14"/>
      <c r="G29" s="14"/>
      <c r="H29" s="14"/>
      <c r="I29" s="14"/>
      <c r="J29" s="14"/>
      <c r="K29" s="14"/>
      <c r="L29" s="14"/>
      <c r="M29" s="14">
        <f t="shared" si="1"/>
        <v>0</v>
      </c>
      <c r="N29" s="14">
        <f t="shared" si="2"/>
        <v>0</v>
      </c>
      <c r="O29" s="14">
        <f t="shared" si="3"/>
        <v>0</v>
      </c>
      <c r="P29" s="96" t="e">
        <f t="shared" si="4"/>
        <v>#DIV/0!</v>
      </c>
    </row>
    <row r="30" spans="1:16" ht="79.5" hidden="1" customHeight="1">
      <c r="A30" s="210"/>
      <c r="B30" s="278" t="s">
        <v>414</v>
      </c>
      <c r="C30" s="279"/>
      <c r="D30" s="280"/>
      <c r="E30" s="14"/>
      <c r="F30" s="14"/>
      <c r="G30" s="14"/>
      <c r="H30" s="14"/>
      <c r="I30" s="14"/>
      <c r="J30" s="14"/>
      <c r="K30" s="14"/>
      <c r="L30" s="14"/>
      <c r="M30" s="14">
        <f t="shared" si="1"/>
        <v>0</v>
      </c>
      <c r="N30" s="14">
        <f t="shared" si="2"/>
        <v>0</v>
      </c>
      <c r="O30" s="14">
        <f t="shared" si="3"/>
        <v>0</v>
      </c>
      <c r="P30" s="96" t="e">
        <f t="shared" si="4"/>
        <v>#DIV/0!</v>
      </c>
    </row>
    <row r="31" spans="1:16" ht="115.5" hidden="1" customHeight="1">
      <c r="A31" s="210"/>
      <c r="B31" s="281" t="s">
        <v>353</v>
      </c>
      <c r="C31" s="282"/>
      <c r="D31" s="283"/>
      <c r="E31" s="14"/>
      <c r="F31" s="14"/>
      <c r="G31" s="14"/>
      <c r="H31" s="14"/>
      <c r="I31" s="14"/>
      <c r="J31" s="14"/>
      <c r="K31" s="14"/>
      <c r="L31" s="14"/>
      <c r="M31" s="14">
        <f t="shared" si="1"/>
        <v>0</v>
      </c>
      <c r="N31" s="14">
        <f t="shared" si="2"/>
        <v>0</v>
      </c>
      <c r="O31" s="14">
        <f t="shared" si="3"/>
        <v>0</v>
      </c>
      <c r="P31" s="96" t="e">
        <f t="shared" si="4"/>
        <v>#DIV/0!</v>
      </c>
    </row>
    <row r="32" spans="1:16" ht="79.5" hidden="1" customHeight="1">
      <c r="A32" s="210"/>
      <c r="B32" s="278" t="s">
        <v>354</v>
      </c>
      <c r="C32" s="279"/>
      <c r="D32" s="280"/>
      <c r="E32" s="14"/>
      <c r="F32" s="14"/>
      <c r="G32" s="14"/>
      <c r="H32" s="14"/>
      <c r="I32" s="14"/>
      <c r="J32" s="14"/>
      <c r="K32" s="14"/>
      <c r="L32" s="14"/>
      <c r="M32" s="14">
        <f t="shared" si="1"/>
        <v>0</v>
      </c>
      <c r="N32" s="14">
        <f t="shared" si="2"/>
        <v>0</v>
      </c>
      <c r="O32" s="14">
        <f t="shared" si="3"/>
        <v>0</v>
      </c>
      <c r="P32" s="96" t="e">
        <f t="shared" si="4"/>
        <v>#DIV/0!</v>
      </c>
    </row>
    <row r="33" spans="1:16" ht="79.5" hidden="1" customHeight="1">
      <c r="A33" s="210"/>
      <c r="B33" s="278" t="s">
        <v>355</v>
      </c>
      <c r="C33" s="279"/>
      <c r="D33" s="280"/>
      <c r="E33" s="14"/>
      <c r="F33" s="14"/>
      <c r="G33" s="14"/>
      <c r="H33" s="14"/>
      <c r="I33" s="14"/>
      <c r="J33" s="14"/>
      <c r="K33" s="14"/>
      <c r="L33" s="14"/>
      <c r="M33" s="14">
        <f t="shared" si="1"/>
        <v>0</v>
      </c>
      <c r="N33" s="14">
        <f t="shared" si="2"/>
        <v>0</v>
      </c>
      <c r="O33" s="14">
        <f t="shared" si="3"/>
        <v>0</v>
      </c>
      <c r="P33" s="96" t="e">
        <f t="shared" si="4"/>
        <v>#DIV/0!</v>
      </c>
    </row>
    <row r="34" spans="1:16" ht="79.5" hidden="1" customHeight="1">
      <c r="A34" s="210"/>
      <c r="B34" s="281" t="s">
        <v>356</v>
      </c>
      <c r="C34" s="282"/>
      <c r="D34" s="283"/>
      <c r="E34" s="14"/>
      <c r="F34" s="14"/>
      <c r="G34" s="14"/>
      <c r="H34" s="14"/>
      <c r="I34" s="14"/>
      <c r="J34" s="14"/>
      <c r="K34" s="14"/>
      <c r="L34" s="14"/>
      <c r="M34" s="14">
        <f t="shared" si="1"/>
        <v>0</v>
      </c>
      <c r="N34" s="14">
        <f t="shared" si="2"/>
        <v>0</v>
      </c>
      <c r="O34" s="14">
        <f t="shared" si="3"/>
        <v>0</v>
      </c>
      <c r="P34" s="96" t="e">
        <f t="shared" si="4"/>
        <v>#DIV/0!</v>
      </c>
    </row>
    <row r="35" spans="1:16" ht="79.5" hidden="1" customHeight="1">
      <c r="A35" s="210"/>
      <c r="B35" s="278" t="s">
        <v>357</v>
      </c>
      <c r="C35" s="279"/>
      <c r="D35" s="280"/>
      <c r="E35" s="14"/>
      <c r="F35" s="14"/>
      <c r="G35" s="14"/>
      <c r="H35" s="14"/>
      <c r="I35" s="14"/>
      <c r="J35" s="14"/>
      <c r="K35" s="14"/>
      <c r="L35" s="14"/>
      <c r="M35" s="14">
        <f t="shared" si="1"/>
        <v>0</v>
      </c>
      <c r="N35" s="14">
        <f t="shared" si="2"/>
        <v>0</v>
      </c>
      <c r="O35" s="14">
        <f t="shared" si="3"/>
        <v>0</v>
      </c>
      <c r="P35" s="96" t="e">
        <f t="shared" si="4"/>
        <v>#DIV/0!</v>
      </c>
    </row>
    <row r="36" spans="1:16" ht="79.5" hidden="1" customHeight="1">
      <c r="A36" s="210"/>
      <c r="B36" s="278" t="s">
        <v>358</v>
      </c>
      <c r="C36" s="279"/>
      <c r="D36" s="280"/>
      <c r="E36" s="14"/>
      <c r="F36" s="14"/>
      <c r="G36" s="14"/>
      <c r="H36" s="14"/>
      <c r="I36" s="14"/>
      <c r="J36" s="14"/>
      <c r="K36" s="14"/>
      <c r="L36" s="14"/>
      <c r="M36" s="14">
        <f t="shared" si="1"/>
        <v>0</v>
      </c>
      <c r="N36" s="14">
        <f t="shared" si="2"/>
        <v>0</v>
      </c>
      <c r="O36" s="14">
        <f t="shared" si="3"/>
        <v>0</v>
      </c>
      <c r="P36" s="96" t="e">
        <f t="shared" si="4"/>
        <v>#DIV/0!</v>
      </c>
    </row>
    <row r="37" spans="1:16" ht="79.5" hidden="1" customHeight="1">
      <c r="A37" s="210"/>
      <c r="B37" s="278" t="s">
        <v>359</v>
      </c>
      <c r="C37" s="279"/>
      <c r="D37" s="280"/>
      <c r="E37" s="14"/>
      <c r="F37" s="14"/>
      <c r="G37" s="14"/>
      <c r="H37" s="14"/>
      <c r="I37" s="14"/>
      <c r="J37" s="14"/>
      <c r="K37" s="14"/>
      <c r="L37" s="14"/>
      <c r="M37" s="14">
        <f t="shared" si="1"/>
        <v>0</v>
      </c>
      <c r="N37" s="14">
        <f t="shared" si="2"/>
        <v>0</v>
      </c>
      <c r="O37" s="14">
        <f t="shared" si="3"/>
        <v>0</v>
      </c>
      <c r="P37" s="96" t="e">
        <f t="shared" si="4"/>
        <v>#DIV/0!</v>
      </c>
    </row>
    <row r="38" spans="1:16" ht="79.5" hidden="1" customHeight="1">
      <c r="A38" s="210"/>
      <c r="B38" s="278" t="s">
        <v>360</v>
      </c>
      <c r="C38" s="279"/>
      <c r="D38" s="280"/>
      <c r="E38" s="14"/>
      <c r="F38" s="14"/>
      <c r="G38" s="14"/>
      <c r="H38" s="14"/>
      <c r="I38" s="14"/>
      <c r="J38" s="14"/>
      <c r="K38" s="14"/>
      <c r="L38" s="14"/>
      <c r="M38" s="14">
        <f t="shared" si="1"/>
        <v>0</v>
      </c>
      <c r="N38" s="14">
        <f t="shared" si="2"/>
        <v>0</v>
      </c>
      <c r="O38" s="14">
        <f t="shared" si="3"/>
        <v>0</v>
      </c>
      <c r="P38" s="96" t="e">
        <f t="shared" si="4"/>
        <v>#DIV/0!</v>
      </c>
    </row>
    <row r="39" spans="1:16" ht="79.5" hidden="1" customHeight="1">
      <c r="A39" s="210"/>
      <c r="B39" s="278" t="s">
        <v>361</v>
      </c>
      <c r="C39" s="279"/>
      <c r="D39" s="280"/>
      <c r="E39" s="14"/>
      <c r="F39" s="14"/>
      <c r="G39" s="14"/>
      <c r="H39" s="14"/>
      <c r="I39" s="14"/>
      <c r="J39" s="14"/>
      <c r="K39" s="14"/>
      <c r="L39" s="14"/>
      <c r="M39" s="14">
        <f t="shared" si="1"/>
        <v>0</v>
      </c>
      <c r="N39" s="14">
        <f t="shared" si="2"/>
        <v>0</v>
      </c>
      <c r="O39" s="14">
        <f t="shared" si="3"/>
        <v>0</v>
      </c>
      <c r="P39" s="96" t="e">
        <f t="shared" si="4"/>
        <v>#DIV/0!</v>
      </c>
    </row>
    <row r="40" spans="1:16" ht="79.5" hidden="1" customHeight="1">
      <c r="A40" s="210"/>
      <c r="B40" s="278" t="s">
        <v>362</v>
      </c>
      <c r="C40" s="279"/>
      <c r="D40" s="280"/>
      <c r="E40" s="14"/>
      <c r="F40" s="14"/>
      <c r="G40" s="14"/>
      <c r="H40" s="14"/>
      <c r="I40" s="14"/>
      <c r="J40" s="14"/>
      <c r="K40" s="14"/>
      <c r="L40" s="14"/>
      <c r="M40" s="14">
        <f t="shared" si="1"/>
        <v>0</v>
      </c>
      <c r="N40" s="14">
        <f t="shared" si="2"/>
        <v>0</v>
      </c>
      <c r="O40" s="14">
        <f t="shared" si="3"/>
        <v>0</v>
      </c>
      <c r="P40" s="96" t="e">
        <f t="shared" si="4"/>
        <v>#DIV/0!</v>
      </c>
    </row>
    <row r="41" spans="1:16" ht="79.5" hidden="1" customHeight="1">
      <c r="A41" s="210"/>
      <c r="B41" s="278" t="s">
        <v>363</v>
      </c>
      <c r="C41" s="279"/>
      <c r="D41" s="280"/>
      <c r="E41" s="14"/>
      <c r="F41" s="14"/>
      <c r="G41" s="14"/>
      <c r="H41" s="14"/>
      <c r="I41" s="14"/>
      <c r="J41" s="14"/>
      <c r="K41" s="14"/>
      <c r="L41" s="14"/>
      <c r="M41" s="14">
        <f t="shared" si="1"/>
        <v>0</v>
      </c>
      <c r="N41" s="14">
        <f t="shared" si="2"/>
        <v>0</v>
      </c>
      <c r="O41" s="14">
        <f t="shared" si="3"/>
        <v>0</v>
      </c>
      <c r="P41" s="96" t="e">
        <f t="shared" si="4"/>
        <v>#DIV/0!</v>
      </c>
    </row>
    <row r="42" spans="1:16" ht="79.5" hidden="1" customHeight="1">
      <c r="A42" s="210"/>
      <c r="B42" s="278" t="s">
        <v>364</v>
      </c>
      <c r="C42" s="279"/>
      <c r="D42" s="280"/>
      <c r="E42" s="14"/>
      <c r="F42" s="14"/>
      <c r="G42" s="14"/>
      <c r="H42" s="14"/>
      <c r="I42" s="14"/>
      <c r="J42" s="14"/>
      <c r="K42" s="14"/>
      <c r="L42" s="14"/>
      <c r="M42" s="14">
        <f t="shared" si="1"/>
        <v>0</v>
      </c>
      <c r="N42" s="14">
        <f t="shared" si="2"/>
        <v>0</v>
      </c>
      <c r="O42" s="14">
        <f t="shared" si="3"/>
        <v>0</v>
      </c>
      <c r="P42" s="96" t="e">
        <f t="shared" si="4"/>
        <v>#DIV/0!</v>
      </c>
    </row>
    <row r="43" spans="1:16" ht="79.5" hidden="1" customHeight="1">
      <c r="A43" s="210"/>
      <c r="B43" s="278" t="s">
        <v>365</v>
      </c>
      <c r="C43" s="279"/>
      <c r="D43" s="280"/>
      <c r="E43" s="14"/>
      <c r="F43" s="14"/>
      <c r="G43" s="14"/>
      <c r="H43" s="14"/>
      <c r="I43" s="14"/>
      <c r="J43" s="14"/>
      <c r="K43" s="14"/>
      <c r="L43" s="14"/>
      <c r="M43" s="14">
        <f t="shared" si="1"/>
        <v>0</v>
      </c>
      <c r="N43" s="14">
        <f t="shared" si="2"/>
        <v>0</v>
      </c>
      <c r="O43" s="14">
        <f t="shared" si="3"/>
        <v>0</v>
      </c>
      <c r="P43" s="96" t="e">
        <f t="shared" si="4"/>
        <v>#DIV/0!</v>
      </c>
    </row>
    <row r="44" spans="1:16" ht="79.5" hidden="1" customHeight="1">
      <c r="A44" s="210"/>
      <c r="B44" s="278" t="s">
        <v>366</v>
      </c>
      <c r="C44" s="279"/>
      <c r="D44" s="280"/>
      <c r="E44" s="14"/>
      <c r="F44" s="14"/>
      <c r="G44" s="14"/>
      <c r="H44" s="14"/>
      <c r="I44" s="14"/>
      <c r="J44" s="14"/>
      <c r="K44" s="14"/>
      <c r="L44" s="14"/>
      <c r="M44" s="14">
        <f t="shared" si="1"/>
        <v>0</v>
      </c>
      <c r="N44" s="14">
        <f t="shared" si="2"/>
        <v>0</v>
      </c>
      <c r="O44" s="14">
        <f t="shared" si="3"/>
        <v>0</v>
      </c>
      <c r="P44" s="96" t="e">
        <f t="shared" si="4"/>
        <v>#DIV/0!</v>
      </c>
    </row>
    <row r="45" spans="1:16" ht="30.75" customHeight="1">
      <c r="A45" s="210"/>
      <c r="B45" s="263" t="s">
        <v>351</v>
      </c>
      <c r="C45" s="264"/>
      <c r="D45" s="265"/>
      <c r="E45" s="18"/>
      <c r="F45" s="18"/>
      <c r="G45" s="18"/>
      <c r="H45" s="18"/>
      <c r="I45" s="18"/>
      <c r="J45" s="18">
        <v>14.1</v>
      </c>
      <c r="K45" s="18"/>
      <c r="L45" s="18"/>
      <c r="M45" s="14">
        <f t="shared" si="1"/>
        <v>0</v>
      </c>
      <c r="N45" s="18">
        <f t="shared" si="2"/>
        <v>14.1</v>
      </c>
      <c r="O45" s="18">
        <f t="shared" si="3"/>
        <v>14.1</v>
      </c>
      <c r="P45" s="96" t="e">
        <f t="shared" si="4"/>
        <v>#DIV/0!</v>
      </c>
    </row>
    <row r="46" spans="1:16" ht="29.25" customHeight="1">
      <c r="A46" s="210"/>
      <c r="B46" s="263" t="s">
        <v>352</v>
      </c>
      <c r="C46" s="264"/>
      <c r="D46" s="265"/>
      <c r="E46" s="18"/>
      <c r="F46" s="18"/>
      <c r="G46" s="18"/>
      <c r="H46" s="18"/>
      <c r="I46" s="18"/>
      <c r="J46" s="18"/>
      <c r="K46" s="18"/>
      <c r="L46" s="18">
        <v>8.1999999999999993</v>
      </c>
      <c r="M46" s="14">
        <f t="shared" si="1"/>
        <v>0</v>
      </c>
      <c r="N46" s="18">
        <f t="shared" si="2"/>
        <v>8.1999999999999993</v>
      </c>
      <c r="O46" s="18">
        <f t="shared" si="3"/>
        <v>8.1999999999999993</v>
      </c>
      <c r="P46" s="96" t="e">
        <f t="shared" si="4"/>
        <v>#DIV/0!</v>
      </c>
    </row>
    <row r="47" spans="1:16" ht="27.75" customHeight="1">
      <c r="A47" s="210"/>
      <c r="B47" s="263" t="s">
        <v>414</v>
      </c>
      <c r="C47" s="264"/>
      <c r="D47" s="265"/>
      <c r="E47" s="18"/>
      <c r="F47" s="18"/>
      <c r="G47" s="18"/>
      <c r="H47" s="18"/>
      <c r="I47" s="18"/>
      <c r="J47" s="18"/>
      <c r="K47" s="18"/>
      <c r="L47" s="18">
        <v>5.8</v>
      </c>
      <c r="M47" s="14">
        <f t="shared" si="1"/>
        <v>0</v>
      </c>
      <c r="N47" s="18">
        <f t="shared" si="2"/>
        <v>5.8</v>
      </c>
      <c r="O47" s="18">
        <f t="shared" si="3"/>
        <v>5.8</v>
      </c>
      <c r="P47" s="96" t="e">
        <f t="shared" si="4"/>
        <v>#DIV/0!</v>
      </c>
    </row>
    <row r="48" spans="1:16" ht="27.75" customHeight="1">
      <c r="A48" s="210"/>
      <c r="B48" s="263" t="s">
        <v>353</v>
      </c>
      <c r="C48" s="264"/>
      <c r="D48" s="265"/>
      <c r="E48" s="18"/>
      <c r="F48" s="18"/>
      <c r="G48" s="18"/>
      <c r="H48" s="18"/>
      <c r="I48" s="18"/>
      <c r="J48" s="18"/>
      <c r="K48" s="18"/>
      <c r="L48" s="18">
        <v>0.1</v>
      </c>
      <c r="M48" s="14">
        <f t="shared" si="1"/>
        <v>0</v>
      </c>
      <c r="N48" s="18">
        <f t="shared" si="2"/>
        <v>0.1</v>
      </c>
      <c r="O48" s="18">
        <f t="shared" si="3"/>
        <v>0.1</v>
      </c>
      <c r="P48" s="96" t="e">
        <f t="shared" si="4"/>
        <v>#DIV/0!</v>
      </c>
    </row>
    <row r="49" spans="1:16" ht="27" customHeight="1">
      <c r="A49" s="210"/>
      <c r="B49" s="263" t="s">
        <v>354</v>
      </c>
      <c r="C49" s="264"/>
      <c r="D49" s="265"/>
      <c r="E49" s="18"/>
      <c r="F49" s="18"/>
      <c r="G49" s="18"/>
      <c r="H49" s="18"/>
      <c r="I49" s="18"/>
      <c r="J49" s="18"/>
      <c r="K49" s="18"/>
      <c r="L49" s="18">
        <v>1.6</v>
      </c>
      <c r="M49" s="14">
        <f t="shared" si="1"/>
        <v>0</v>
      </c>
      <c r="N49" s="18">
        <f t="shared" si="2"/>
        <v>1.6</v>
      </c>
      <c r="O49" s="18">
        <f t="shared" si="3"/>
        <v>1.6</v>
      </c>
      <c r="P49" s="96" t="e">
        <f t="shared" si="4"/>
        <v>#DIV/0!</v>
      </c>
    </row>
    <row r="50" spans="1:16" ht="27" customHeight="1">
      <c r="A50" s="210"/>
      <c r="B50" s="263" t="s">
        <v>355</v>
      </c>
      <c r="C50" s="264"/>
      <c r="D50" s="265"/>
      <c r="E50" s="18"/>
      <c r="F50" s="18"/>
      <c r="G50" s="18"/>
      <c r="H50" s="18"/>
      <c r="I50" s="18"/>
      <c r="J50" s="18"/>
      <c r="K50" s="18"/>
      <c r="L50" s="18">
        <v>1.2</v>
      </c>
      <c r="M50" s="14">
        <f t="shared" si="1"/>
        <v>0</v>
      </c>
      <c r="N50" s="18">
        <f t="shared" si="2"/>
        <v>1.2</v>
      </c>
      <c r="O50" s="18">
        <f t="shared" si="3"/>
        <v>1.2</v>
      </c>
      <c r="P50" s="96" t="e">
        <f t="shared" si="4"/>
        <v>#DIV/0!</v>
      </c>
    </row>
    <row r="51" spans="1:16" ht="27" customHeight="1">
      <c r="A51" s="210"/>
      <c r="B51" s="263" t="s">
        <v>356</v>
      </c>
      <c r="C51" s="264"/>
      <c r="D51" s="265"/>
      <c r="E51" s="18"/>
      <c r="F51" s="18"/>
      <c r="G51" s="18"/>
      <c r="H51" s="18"/>
      <c r="I51" s="18"/>
      <c r="J51" s="18"/>
      <c r="K51" s="18"/>
      <c r="L51" s="18">
        <v>0.2</v>
      </c>
      <c r="M51" s="14">
        <f t="shared" si="1"/>
        <v>0</v>
      </c>
      <c r="N51" s="18">
        <f t="shared" si="2"/>
        <v>0.2</v>
      </c>
      <c r="O51" s="18">
        <f t="shared" si="3"/>
        <v>0.2</v>
      </c>
      <c r="P51" s="96" t="e">
        <f t="shared" si="4"/>
        <v>#DIV/0!</v>
      </c>
    </row>
    <row r="52" spans="1:16" ht="27" customHeight="1">
      <c r="A52" s="210"/>
      <c r="B52" s="263" t="s">
        <v>357</v>
      </c>
      <c r="C52" s="264"/>
      <c r="D52" s="265"/>
      <c r="E52" s="18"/>
      <c r="F52" s="18"/>
      <c r="G52" s="18"/>
      <c r="H52" s="18"/>
      <c r="I52" s="18"/>
      <c r="J52" s="18">
        <v>0.5</v>
      </c>
      <c r="K52" s="18"/>
      <c r="L52" s="18"/>
      <c r="M52" s="14">
        <f t="shared" si="1"/>
        <v>0</v>
      </c>
      <c r="N52" s="18">
        <f t="shared" si="2"/>
        <v>0.5</v>
      </c>
      <c r="O52" s="18">
        <f t="shared" si="3"/>
        <v>0.5</v>
      </c>
      <c r="P52" s="96" t="e">
        <f t="shared" si="4"/>
        <v>#DIV/0!</v>
      </c>
    </row>
    <row r="53" spans="1:16" ht="43.5" customHeight="1">
      <c r="A53" s="210"/>
      <c r="B53" s="260" t="s">
        <v>358</v>
      </c>
      <c r="C53" s="261"/>
      <c r="D53" s="262"/>
      <c r="E53" s="18"/>
      <c r="F53" s="18"/>
      <c r="G53" s="18"/>
      <c r="H53" s="18"/>
      <c r="I53" s="18"/>
      <c r="J53" s="18">
        <v>0.7</v>
      </c>
      <c r="K53" s="18"/>
      <c r="L53" s="18"/>
      <c r="M53" s="14">
        <f t="shared" si="1"/>
        <v>0</v>
      </c>
      <c r="N53" s="18">
        <f t="shared" si="2"/>
        <v>0.7</v>
      </c>
      <c r="O53" s="18">
        <f t="shared" si="3"/>
        <v>0.7</v>
      </c>
      <c r="P53" s="96" t="e">
        <f t="shared" si="4"/>
        <v>#DIV/0!</v>
      </c>
    </row>
    <row r="54" spans="1:16" ht="23.25" customHeight="1">
      <c r="A54" s="210"/>
      <c r="B54" s="263" t="s">
        <v>359</v>
      </c>
      <c r="C54" s="264"/>
      <c r="D54" s="265"/>
      <c r="E54" s="18"/>
      <c r="F54" s="18"/>
      <c r="G54" s="18"/>
      <c r="H54" s="18"/>
      <c r="I54" s="18"/>
      <c r="J54" s="18">
        <v>1.9</v>
      </c>
      <c r="K54" s="18"/>
      <c r="L54" s="18"/>
      <c r="M54" s="14">
        <f t="shared" si="1"/>
        <v>0</v>
      </c>
      <c r="N54" s="18">
        <f t="shared" si="2"/>
        <v>1.9</v>
      </c>
      <c r="O54" s="18">
        <f t="shared" si="3"/>
        <v>1.9</v>
      </c>
      <c r="P54" s="96" t="e">
        <f t="shared" si="4"/>
        <v>#DIV/0!</v>
      </c>
    </row>
    <row r="55" spans="1:16" ht="23.25" customHeight="1">
      <c r="A55" s="210"/>
      <c r="B55" s="263" t="s">
        <v>360</v>
      </c>
      <c r="C55" s="264"/>
      <c r="D55" s="265"/>
      <c r="E55" s="18"/>
      <c r="F55" s="18"/>
      <c r="G55" s="18"/>
      <c r="H55" s="18"/>
      <c r="I55" s="18"/>
      <c r="J55" s="18">
        <v>2.1</v>
      </c>
      <c r="K55" s="18"/>
      <c r="L55" s="18"/>
      <c r="M55" s="14">
        <f t="shared" si="1"/>
        <v>0</v>
      </c>
      <c r="N55" s="18">
        <f t="shared" si="2"/>
        <v>2.1</v>
      </c>
      <c r="O55" s="18">
        <f t="shared" si="3"/>
        <v>2.1</v>
      </c>
      <c r="P55" s="96" t="e">
        <f t="shared" si="4"/>
        <v>#DIV/0!</v>
      </c>
    </row>
    <row r="56" spans="1:16" ht="23.25" customHeight="1">
      <c r="A56" s="210"/>
      <c r="B56" s="263" t="s">
        <v>361</v>
      </c>
      <c r="C56" s="264"/>
      <c r="D56" s="265"/>
      <c r="E56" s="18"/>
      <c r="F56" s="18"/>
      <c r="G56" s="18"/>
      <c r="H56" s="18"/>
      <c r="I56" s="18"/>
      <c r="J56" s="18">
        <v>1.7</v>
      </c>
      <c r="K56" s="18"/>
      <c r="L56" s="18"/>
      <c r="M56" s="14">
        <f t="shared" si="1"/>
        <v>0</v>
      </c>
      <c r="N56" s="18">
        <f t="shared" si="2"/>
        <v>1.7</v>
      </c>
      <c r="O56" s="18">
        <f t="shared" si="3"/>
        <v>1.7</v>
      </c>
      <c r="P56" s="96" t="e">
        <f t="shared" si="4"/>
        <v>#DIV/0!</v>
      </c>
    </row>
    <row r="57" spans="1:16" ht="23.25" customHeight="1">
      <c r="A57" s="210"/>
      <c r="B57" s="263" t="s">
        <v>362</v>
      </c>
      <c r="C57" s="264"/>
      <c r="D57" s="265"/>
      <c r="E57" s="18"/>
      <c r="F57" s="18"/>
      <c r="G57" s="18"/>
      <c r="H57" s="18"/>
      <c r="I57" s="18"/>
      <c r="J57" s="18">
        <v>1</v>
      </c>
      <c r="K57" s="18"/>
      <c r="L57" s="18"/>
      <c r="M57" s="14">
        <f t="shared" si="1"/>
        <v>0</v>
      </c>
      <c r="N57" s="18">
        <f t="shared" si="2"/>
        <v>1</v>
      </c>
      <c r="O57" s="18">
        <f t="shared" si="3"/>
        <v>1</v>
      </c>
      <c r="P57" s="96" t="e">
        <f t="shared" si="4"/>
        <v>#DIV/0!</v>
      </c>
    </row>
    <row r="58" spans="1:16" ht="23.25" customHeight="1">
      <c r="A58" s="210"/>
      <c r="B58" s="263" t="s">
        <v>363</v>
      </c>
      <c r="C58" s="264"/>
      <c r="D58" s="265"/>
      <c r="E58" s="18"/>
      <c r="F58" s="18"/>
      <c r="G58" s="18"/>
      <c r="H58" s="18"/>
      <c r="I58" s="18"/>
      <c r="J58" s="18"/>
      <c r="K58" s="18"/>
      <c r="L58" s="18">
        <v>1.3</v>
      </c>
      <c r="M58" s="14">
        <f t="shared" si="1"/>
        <v>0</v>
      </c>
      <c r="N58" s="18">
        <f t="shared" si="2"/>
        <v>1.3</v>
      </c>
      <c r="O58" s="18">
        <f t="shared" si="3"/>
        <v>1.3</v>
      </c>
      <c r="P58" s="96" t="e">
        <f t="shared" si="4"/>
        <v>#DIV/0!</v>
      </c>
    </row>
    <row r="59" spans="1:16" ht="23.25" customHeight="1">
      <c r="A59" s="210"/>
      <c r="B59" s="263" t="s">
        <v>364</v>
      </c>
      <c r="C59" s="264"/>
      <c r="D59" s="265"/>
      <c r="E59" s="18"/>
      <c r="F59" s="18"/>
      <c r="G59" s="18"/>
      <c r="H59" s="18"/>
      <c r="I59" s="18"/>
      <c r="J59" s="18"/>
      <c r="K59" s="18"/>
      <c r="L59" s="18">
        <v>0.4</v>
      </c>
      <c r="M59" s="14">
        <f t="shared" si="1"/>
        <v>0</v>
      </c>
      <c r="N59" s="18">
        <f t="shared" si="2"/>
        <v>0.4</v>
      </c>
      <c r="O59" s="18">
        <f t="shared" si="3"/>
        <v>0.4</v>
      </c>
      <c r="P59" s="96" t="e">
        <f t="shared" si="4"/>
        <v>#DIV/0!</v>
      </c>
    </row>
    <row r="60" spans="1:16" ht="23.25" customHeight="1">
      <c r="A60" s="210"/>
      <c r="B60" s="263" t="s">
        <v>365</v>
      </c>
      <c r="C60" s="264"/>
      <c r="D60" s="265"/>
      <c r="E60" s="18"/>
      <c r="F60" s="18"/>
      <c r="G60" s="18"/>
      <c r="H60" s="18"/>
      <c r="I60" s="18"/>
      <c r="J60" s="18"/>
      <c r="K60" s="18"/>
      <c r="L60" s="18">
        <v>2.2999999999999998</v>
      </c>
      <c r="M60" s="14">
        <f t="shared" si="1"/>
        <v>0</v>
      </c>
      <c r="N60" s="18">
        <f t="shared" si="2"/>
        <v>2.2999999999999998</v>
      </c>
      <c r="O60" s="18">
        <f t="shared" si="3"/>
        <v>2.2999999999999998</v>
      </c>
      <c r="P60" s="96" t="e">
        <f t="shared" si="4"/>
        <v>#DIV/0!</v>
      </c>
    </row>
    <row r="61" spans="1:16" ht="23.25" customHeight="1">
      <c r="A61" s="210"/>
      <c r="B61" s="263" t="s">
        <v>366</v>
      </c>
      <c r="C61" s="264"/>
      <c r="D61" s="265"/>
      <c r="E61" s="18"/>
      <c r="F61" s="18"/>
      <c r="G61" s="18"/>
      <c r="H61" s="18"/>
      <c r="I61" s="18"/>
      <c r="J61" s="18"/>
      <c r="K61" s="18"/>
      <c r="L61" s="18">
        <v>1.1000000000000001</v>
      </c>
      <c r="M61" s="14">
        <f t="shared" si="1"/>
        <v>0</v>
      </c>
      <c r="N61" s="18">
        <f t="shared" si="2"/>
        <v>1.1000000000000001</v>
      </c>
      <c r="O61" s="18">
        <f t="shared" si="3"/>
        <v>1.1000000000000001</v>
      </c>
      <c r="P61" s="96" t="e">
        <f t="shared" si="4"/>
        <v>#DIV/0!</v>
      </c>
    </row>
    <row r="62" spans="1:16" ht="58.5" customHeight="1">
      <c r="A62" s="210"/>
      <c r="B62" s="260" t="s">
        <v>367</v>
      </c>
      <c r="C62" s="261"/>
      <c r="D62" s="262"/>
      <c r="E62" s="18"/>
      <c r="F62" s="18"/>
      <c r="G62" s="18"/>
      <c r="H62" s="18"/>
      <c r="I62" s="18"/>
      <c r="J62" s="18"/>
      <c r="K62" s="18"/>
      <c r="L62" s="18">
        <v>1.7</v>
      </c>
      <c r="M62" s="14">
        <f t="shared" si="1"/>
        <v>0</v>
      </c>
      <c r="N62" s="18">
        <f t="shared" si="2"/>
        <v>1.7</v>
      </c>
      <c r="O62" s="18">
        <f t="shared" si="3"/>
        <v>1.7</v>
      </c>
      <c r="P62" s="96" t="e">
        <f t="shared" si="4"/>
        <v>#DIV/0!</v>
      </c>
    </row>
    <row r="63" spans="1:16" ht="26.25" customHeight="1">
      <c r="A63" s="210"/>
      <c r="B63" s="263" t="s">
        <v>368</v>
      </c>
      <c r="C63" s="264"/>
      <c r="D63" s="265"/>
      <c r="E63" s="18"/>
      <c r="F63" s="18"/>
      <c r="G63" s="18"/>
      <c r="H63" s="18"/>
      <c r="I63" s="18"/>
      <c r="J63" s="18">
        <v>2.1</v>
      </c>
      <c r="K63" s="18"/>
      <c r="L63" s="18"/>
      <c r="M63" s="14">
        <f t="shared" si="1"/>
        <v>0</v>
      </c>
      <c r="N63" s="18">
        <f t="shared" si="2"/>
        <v>2.1</v>
      </c>
      <c r="O63" s="18">
        <f t="shared" si="3"/>
        <v>2.1</v>
      </c>
      <c r="P63" s="96" t="e">
        <f t="shared" si="4"/>
        <v>#DIV/0!</v>
      </c>
    </row>
    <row r="64" spans="1:16" ht="30" customHeight="1">
      <c r="A64" s="210"/>
      <c r="B64" s="263" t="s">
        <v>369</v>
      </c>
      <c r="C64" s="264"/>
      <c r="D64" s="265"/>
      <c r="E64" s="18"/>
      <c r="F64" s="18"/>
      <c r="G64" s="18"/>
      <c r="H64" s="18"/>
      <c r="I64" s="18"/>
      <c r="J64" s="18">
        <v>2.9</v>
      </c>
      <c r="K64" s="18"/>
      <c r="L64" s="18"/>
      <c r="M64" s="14">
        <f t="shared" si="1"/>
        <v>0</v>
      </c>
      <c r="N64" s="18">
        <f t="shared" si="2"/>
        <v>2.9</v>
      </c>
      <c r="O64" s="18">
        <f t="shared" si="3"/>
        <v>2.9</v>
      </c>
      <c r="P64" s="96" t="e">
        <f t="shared" si="4"/>
        <v>#DIV/0!</v>
      </c>
    </row>
    <row r="65" spans="1:16" ht="29.25" customHeight="1">
      <c r="A65" s="210"/>
      <c r="B65" s="263" t="s">
        <v>370</v>
      </c>
      <c r="C65" s="264"/>
      <c r="D65" s="265"/>
      <c r="E65" s="18"/>
      <c r="F65" s="18"/>
      <c r="G65" s="18"/>
      <c r="H65" s="18"/>
      <c r="I65" s="18"/>
      <c r="J65" s="18"/>
      <c r="K65" s="18"/>
      <c r="L65" s="18">
        <v>2.8</v>
      </c>
      <c r="M65" s="14">
        <f t="shared" si="1"/>
        <v>0</v>
      </c>
      <c r="N65" s="18">
        <f t="shared" si="2"/>
        <v>2.8</v>
      </c>
      <c r="O65" s="18">
        <f t="shared" si="3"/>
        <v>2.8</v>
      </c>
      <c r="P65" s="96" t="e">
        <f t="shared" si="4"/>
        <v>#DIV/0!</v>
      </c>
    </row>
    <row r="66" spans="1:16" ht="27" customHeight="1">
      <c r="A66" s="210"/>
      <c r="B66" s="263" t="s">
        <v>371</v>
      </c>
      <c r="C66" s="264"/>
      <c r="D66" s="265"/>
      <c r="E66" s="18"/>
      <c r="F66" s="18"/>
      <c r="G66" s="18"/>
      <c r="H66" s="18"/>
      <c r="I66" s="18"/>
      <c r="J66" s="18"/>
      <c r="K66" s="18"/>
      <c r="L66" s="18">
        <v>0.2</v>
      </c>
      <c r="M66" s="14">
        <f t="shared" si="1"/>
        <v>0</v>
      </c>
      <c r="N66" s="18">
        <f t="shared" si="2"/>
        <v>0.2</v>
      </c>
      <c r="O66" s="18">
        <f t="shared" si="3"/>
        <v>0.2</v>
      </c>
      <c r="P66" s="96" t="e">
        <f t="shared" si="4"/>
        <v>#DIV/0!</v>
      </c>
    </row>
    <row r="67" spans="1:16" ht="32.25" customHeight="1">
      <c r="A67" s="210"/>
      <c r="B67" s="263" t="s">
        <v>372</v>
      </c>
      <c r="C67" s="264"/>
      <c r="D67" s="265"/>
      <c r="E67" s="18"/>
      <c r="F67" s="18"/>
      <c r="G67" s="18"/>
      <c r="H67" s="18"/>
      <c r="I67" s="18"/>
      <c r="J67" s="18"/>
      <c r="K67" s="18"/>
      <c r="L67" s="18">
        <v>0.3</v>
      </c>
      <c r="M67" s="14">
        <f t="shared" si="1"/>
        <v>0</v>
      </c>
      <c r="N67" s="18">
        <f t="shared" si="2"/>
        <v>0.3</v>
      </c>
      <c r="O67" s="18">
        <f t="shared" si="3"/>
        <v>0.3</v>
      </c>
      <c r="P67" s="96" t="e">
        <f t="shared" si="4"/>
        <v>#DIV/0!</v>
      </c>
    </row>
    <row r="68" spans="1:16" ht="32.25" customHeight="1">
      <c r="A68" s="210"/>
      <c r="B68" s="263" t="s">
        <v>373</v>
      </c>
      <c r="C68" s="264"/>
      <c r="D68" s="265"/>
      <c r="E68" s="18"/>
      <c r="F68" s="18"/>
      <c r="G68" s="18"/>
      <c r="H68" s="18"/>
      <c r="I68" s="18"/>
      <c r="J68" s="18"/>
      <c r="K68" s="18"/>
      <c r="L68" s="18">
        <v>0.4</v>
      </c>
      <c r="M68" s="14">
        <f t="shared" si="1"/>
        <v>0</v>
      </c>
      <c r="N68" s="18">
        <f t="shared" si="2"/>
        <v>0.4</v>
      </c>
      <c r="O68" s="18">
        <f t="shared" si="3"/>
        <v>0.4</v>
      </c>
      <c r="P68" s="96" t="e">
        <f t="shared" si="4"/>
        <v>#DIV/0!</v>
      </c>
    </row>
    <row r="69" spans="1:16" ht="32.25" customHeight="1">
      <c r="A69" s="210"/>
      <c r="B69" s="263" t="s">
        <v>374</v>
      </c>
      <c r="C69" s="264"/>
      <c r="D69" s="265"/>
      <c r="E69" s="18"/>
      <c r="F69" s="18"/>
      <c r="G69" s="18"/>
      <c r="H69" s="18"/>
      <c r="I69" s="18"/>
      <c r="J69" s="18"/>
      <c r="K69" s="18"/>
      <c r="L69" s="18">
        <v>0.6</v>
      </c>
      <c r="M69" s="14">
        <f t="shared" si="1"/>
        <v>0</v>
      </c>
      <c r="N69" s="18">
        <f t="shared" si="2"/>
        <v>0.6</v>
      </c>
      <c r="O69" s="18">
        <f t="shared" si="3"/>
        <v>0.6</v>
      </c>
      <c r="P69" s="96" t="e">
        <f t="shared" si="4"/>
        <v>#DIV/0!</v>
      </c>
    </row>
    <row r="70" spans="1:16" ht="32.25" customHeight="1">
      <c r="A70" s="210"/>
      <c r="B70" s="263" t="s">
        <v>375</v>
      </c>
      <c r="C70" s="264"/>
      <c r="D70" s="265"/>
      <c r="E70" s="18"/>
      <c r="F70" s="18"/>
      <c r="G70" s="18"/>
      <c r="H70" s="18"/>
      <c r="I70" s="18"/>
      <c r="J70" s="18"/>
      <c r="K70" s="18"/>
      <c r="L70" s="18">
        <v>1</v>
      </c>
      <c r="M70" s="14">
        <f t="shared" si="1"/>
        <v>0</v>
      </c>
      <c r="N70" s="18">
        <f t="shared" si="2"/>
        <v>1</v>
      </c>
      <c r="O70" s="18">
        <f t="shared" si="3"/>
        <v>1</v>
      </c>
      <c r="P70" s="96" t="e">
        <f t="shared" si="4"/>
        <v>#DIV/0!</v>
      </c>
    </row>
    <row r="71" spans="1:16" ht="32.25" customHeight="1">
      <c r="A71" s="210"/>
      <c r="B71" s="263" t="s">
        <v>376</v>
      </c>
      <c r="C71" s="264"/>
      <c r="D71" s="265"/>
      <c r="E71" s="18"/>
      <c r="F71" s="18"/>
      <c r="G71" s="18"/>
      <c r="H71" s="18"/>
      <c r="I71" s="18"/>
      <c r="J71" s="18"/>
      <c r="K71" s="18"/>
      <c r="L71" s="18">
        <v>1</v>
      </c>
      <c r="M71" s="14">
        <f t="shared" si="1"/>
        <v>0</v>
      </c>
      <c r="N71" s="18">
        <f t="shared" si="2"/>
        <v>1</v>
      </c>
      <c r="O71" s="18">
        <f t="shared" si="3"/>
        <v>1</v>
      </c>
      <c r="P71" s="96" t="e">
        <f t="shared" si="4"/>
        <v>#DIV/0!</v>
      </c>
    </row>
    <row r="72" spans="1:16" ht="32.25" customHeight="1">
      <c r="A72" s="210"/>
      <c r="B72" s="263" t="s">
        <v>377</v>
      </c>
      <c r="C72" s="264"/>
      <c r="D72" s="265"/>
      <c r="E72" s="18"/>
      <c r="F72" s="18"/>
      <c r="G72" s="18"/>
      <c r="H72" s="18"/>
      <c r="I72" s="18"/>
      <c r="J72" s="18"/>
      <c r="K72" s="18"/>
      <c r="L72" s="18">
        <v>0.5</v>
      </c>
      <c r="M72" s="14">
        <f t="shared" ref="M72:M99" si="6">E72+G72+I72+K72</f>
        <v>0</v>
      </c>
      <c r="N72" s="18">
        <f t="shared" ref="N72:N99" si="7">F72+H72+J72+L72</f>
        <v>0.5</v>
      </c>
      <c r="O72" s="18">
        <f t="shared" ref="O72:O99" si="8">N72-M72</f>
        <v>0.5</v>
      </c>
      <c r="P72" s="96" t="e">
        <f t="shared" ref="P72:P99" si="9">(N72/M72)*100</f>
        <v>#DIV/0!</v>
      </c>
    </row>
    <row r="73" spans="1:16" ht="32.25" customHeight="1">
      <c r="A73" s="210"/>
      <c r="B73" s="263" t="s">
        <v>378</v>
      </c>
      <c r="C73" s="264"/>
      <c r="D73" s="265"/>
      <c r="E73" s="18"/>
      <c r="F73" s="18"/>
      <c r="G73" s="18"/>
      <c r="H73" s="18"/>
      <c r="I73" s="18"/>
      <c r="J73" s="18"/>
      <c r="K73" s="18"/>
      <c r="L73" s="18">
        <v>0.3</v>
      </c>
      <c r="M73" s="14">
        <f t="shared" si="6"/>
        <v>0</v>
      </c>
      <c r="N73" s="18">
        <f t="shared" si="7"/>
        <v>0.3</v>
      </c>
      <c r="O73" s="18">
        <f t="shared" si="8"/>
        <v>0.3</v>
      </c>
      <c r="P73" s="96" t="e">
        <f t="shared" si="9"/>
        <v>#DIV/0!</v>
      </c>
    </row>
    <row r="74" spans="1:16" ht="32.25" customHeight="1">
      <c r="A74" s="210"/>
      <c r="B74" s="263" t="s">
        <v>379</v>
      </c>
      <c r="C74" s="264"/>
      <c r="D74" s="265"/>
      <c r="E74" s="18"/>
      <c r="F74" s="18"/>
      <c r="G74" s="18"/>
      <c r="H74" s="18"/>
      <c r="I74" s="18"/>
      <c r="J74" s="18"/>
      <c r="K74" s="18"/>
      <c r="L74" s="18">
        <v>2.2999999999999998</v>
      </c>
      <c r="M74" s="14">
        <f t="shared" si="6"/>
        <v>0</v>
      </c>
      <c r="N74" s="18">
        <f t="shared" si="7"/>
        <v>2.2999999999999998</v>
      </c>
      <c r="O74" s="18">
        <f t="shared" si="8"/>
        <v>2.2999999999999998</v>
      </c>
      <c r="P74" s="96" t="e">
        <f t="shared" si="9"/>
        <v>#DIV/0!</v>
      </c>
    </row>
    <row r="75" spans="1:16" ht="32.25" customHeight="1">
      <c r="A75" s="210"/>
      <c r="B75" s="263" t="s">
        <v>380</v>
      </c>
      <c r="C75" s="264"/>
      <c r="D75" s="265"/>
      <c r="E75" s="18"/>
      <c r="F75" s="18"/>
      <c r="G75" s="18"/>
      <c r="H75" s="18"/>
      <c r="I75" s="18"/>
      <c r="J75" s="18"/>
      <c r="K75" s="18"/>
      <c r="L75" s="18">
        <v>0.7</v>
      </c>
      <c r="M75" s="14">
        <f t="shared" si="6"/>
        <v>0</v>
      </c>
      <c r="N75" s="18">
        <f t="shared" si="7"/>
        <v>0.7</v>
      </c>
      <c r="O75" s="18">
        <f t="shared" si="8"/>
        <v>0.7</v>
      </c>
      <c r="P75" s="96" t="e">
        <f t="shared" si="9"/>
        <v>#DIV/0!</v>
      </c>
    </row>
    <row r="76" spans="1:16" ht="32.25" customHeight="1">
      <c r="A76" s="210"/>
      <c r="B76" s="263" t="s">
        <v>381</v>
      </c>
      <c r="C76" s="264"/>
      <c r="D76" s="265"/>
      <c r="E76" s="18"/>
      <c r="F76" s="18"/>
      <c r="G76" s="18"/>
      <c r="H76" s="18"/>
      <c r="I76" s="18"/>
      <c r="J76" s="18"/>
      <c r="K76" s="18"/>
      <c r="L76" s="18">
        <v>0.2</v>
      </c>
      <c r="M76" s="14">
        <f t="shared" si="6"/>
        <v>0</v>
      </c>
      <c r="N76" s="18">
        <f t="shared" si="7"/>
        <v>0.2</v>
      </c>
      <c r="O76" s="18">
        <f t="shared" si="8"/>
        <v>0.2</v>
      </c>
      <c r="P76" s="96" t="e">
        <f t="shared" si="9"/>
        <v>#DIV/0!</v>
      </c>
    </row>
    <row r="77" spans="1:16" ht="40.5" customHeight="1">
      <c r="A77" s="210"/>
      <c r="B77" s="260" t="s">
        <v>382</v>
      </c>
      <c r="C77" s="261"/>
      <c r="D77" s="262"/>
      <c r="E77" s="18"/>
      <c r="F77" s="18"/>
      <c r="G77" s="18"/>
      <c r="H77" s="18"/>
      <c r="I77" s="18"/>
      <c r="J77" s="18">
        <v>4.5</v>
      </c>
      <c r="K77" s="18"/>
      <c r="L77" s="18"/>
      <c r="M77" s="14">
        <f t="shared" si="6"/>
        <v>0</v>
      </c>
      <c r="N77" s="18">
        <f t="shared" si="7"/>
        <v>4.5</v>
      </c>
      <c r="O77" s="18">
        <f t="shared" si="8"/>
        <v>4.5</v>
      </c>
      <c r="P77" s="96" t="e">
        <f t="shared" si="9"/>
        <v>#DIV/0!</v>
      </c>
    </row>
    <row r="78" spans="1:16" ht="27" customHeight="1">
      <c r="A78" s="210"/>
      <c r="B78" s="263" t="s">
        <v>383</v>
      </c>
      <c r="C78" s="264"/>
      <c r="D78" s="265"/>
      <c r="E78" s="18"/>
      <c r="F78" s="18"/>
      <c r="G78" s="18"/>
      <c r="H78" s="18"/>
      <c r="I78" s="18"/>
      <c r="J78" s="18"/>
      <c r="K78" s="18"/>
      <c r="L78" s="18">
        <v>1.2</v>
      </c>
      <c r="M78" s="14">
        <f t="shared" si="6"/>
        <v>0</v>
      </c>
      <c r="N78" s="18">
        <f t="shared" si="7"/>
        <v>1.2</v>
      </c>
      <c r="O78" s="18">
        <f t="shared" si="8"/>
        <v>1.2</v>
      </c>
      <c r="P78" s="96" t="e">
        <f t="shared" si="9"/>
        <v>#DIV/0!</v>
      </c>
    </row>
    <row r="79" spans="1:16" ht="27" customHeight="1">
      <c r="A79" s="210"/>
      <c r="B79" s="263" t="s">
        <v>384</v>
      </c>
      <c r="C79" s="264"/>
      <c r="D79" s="265"/>
      <c r="E79" s="18"/>
      <c r="F79" s="18"/>
      <c r="G79" s="18"/>
      <c r="H79" s="18"/>
      <c r="I79" s="18"/>
      <c r="J79" s="18"/>
      <c r="K79" s="18"/>
      <c r="L79" s="18">
        <v>0.7</v>
      </c>
      <c r="M79" s="14">
        <f t="shared" si="6"/>
        <v>0</v>
      </c>
      <c r="N79" s="18">
        <f t="shared" si="7"/>
        <v>0.7</v>
      </c>
      <c r="O79" s="18">
        <f t="shared" si="8"/>
        <v>0.7</v>
      </c>
      <c r="P79" s="96" t="e">
        <f t="shared" si="9"/>
        <v>#DIV/0!</v>
      </c>
    </row>
    <row r="80" spans="1:16" ht="27" customHeight="1">
      <c r="A80" s="210"/>
      <c r="B80" s="263" t="s">
        <v>385</v>
      </c>
      <c r="C80" s="264"/>
      <c r="D80" s="265"/>
      <c r="E80" s="18"/>
      <c r="F80" s="18"/>
      <c r="G80" s="18"/>
      <c r="H80" s="18"/>
      <c r="I80" s="18"/>
      <c r="J80" s="18"/>
      <c r="K80" s="18"/>
      <c r="L80" s="18">
        <v>1</v>
      </c>
      <c r="M80" s="14">
        <f t="shared" si="6"/>
        <v>0</v>
      </c>
      <c r="N80" s="18">
        <f t="shared" si="7"/>
        <v>1</v>
      </c>
      <c r="O80" s="18">
        <f t="shared" si="8"/>
        <v>1</v>
      </c>
      <c r="P80" s="96" t="e">
        <f t="shared" si="9"/>
        <v>#DIV/0!</v>
      </c>
    </row>
    <row r="81" spans="1:16" ht="27" customHeight="1">
      <c r="A81" s="210"/>
      <c r="B81" s="263" t="s">
        <v>386</v>
      </c>
      <c r="C81" s="264"/>
      <c r="D81" s="265"/>
      <c r="E81" s="18"/>
      <c r="F81" s="18"/>
      <c r="G81" s="18"/>
      <c r="H81" s="18"/>
      <c r="I81" s="18"/>
      <c r="J81" s="18">
        <v>14.7</v>
      </c>
      <c r="K81" s="18"/>
      <c r="L81" s="18"/>
      <c r="M81" s="18">
        <f t="shared" si="6"/>
        <v>0</v>
      </c>
      <c r="N81" s="18">
        <f t="shared" si="7"/>
        <v>14.7</v>
      </c>
      <c r="O81" s="18">
        <f t="shared" si="8"/>
        <v>14.7</v>
      </c>
      <c r="P81" s="96" t="e">
        <f t="shared" si="9"/>
        <v>#DIV/0!</v>
      </c>
    </row>
    <row r="82" spans="1:16" ht="38.25" customHeight="1">
      <c r="A82" s="210"/>
      <c r="B82" s="260" t="s">
        <v>387</v>
      </c>
      <c r="C82" s="261"/>
      <c r="D82" s="262"/>
      <c r="E82" s="18"/>
      <c r="F82" s="18"/>
      <c r="G82" s="18"/>
      <c r="H82" s="18"/>
      <c r="I82" s="18"/>
      <c r="J82" s="18"/>
      <c r="K82" s="18"/>
      <c r="L82" s="18">
        <v>17.399999999999999</v>
      </c>
      <c r="M82" s="18">
        <f t="shared" si="6"/>
        <v>0</v>
      </c>
      <c r="N82" s="18">
        <f t="shared" si="7"/>
        <v>17.399999999999999</v>
      </c>
      <c r="O82" s="18">
        <f t="shared" si="8"/>
        <v>17.399999999999999</v>
      </c>
      <c r="P82" s="96" t="e">
        <f t="shared" si="9"/>
        <v>#DIV/0!</v>
      </c>
    </row>
    <row r="83" spans="1:16" ht="27" customHeight="1">
      <c r="A83" s="210"/>
      <c r="B83" s="260" t="s">
        <v>388</v>
      </c>
      <c r="C83" s="261"/>
      <c r="D83" s="262"/>
      <c r="E83" s="18"/>
      <c r="F83" s="18"/>
      <c r="G83" s="18"/>
      <c r="H83" s="18"/>
      <c r="I83" s="18"/>
      <c r="J83" s="175">
        <v>18.8</v>
      </c>
      <c r="K83" s="18"/>
      <c r="L83" s="18"/>
      <c r="M83" s="18">
        <f t="shared" si="6"/>
        <v>0</v>
      </c>
      <c r="N83" s="18">
        <f t="shared" si="7"/>
        <v>18.8</v>
      </c>
      <c r="O83" s="18">
        <f t="shared" si="8"/>
        <v>18.8</v>
      </c>
      <c r="P83" s="96" t="e">
        <f t="shared" si="9"/>
        <v>#DIV/0!</v>
      </c>
    </row>
    <row r="84" spans="1:16" ht="27" customHeight="1">
      <c r="A84" s="210"/>
      <c r="B84" s="260" t="s">
        <v>389</v>
      </c>
      <c r="C84" s="261"/>
      <c r="D84" s="262"/>
      <c r="E84" s="18"/>
      <c r="F84" s="18"/>
      <c r="G84" s="18"/>
      <c r="H84" s="18"/>
      <c r="I84" s="18"/>
      <c r="J84" s="18">
        <v>6.9</v>
      </c>
      <c r="K84" s="18"/>
      <c r="L84" s="18"/>
      <c r="M84" s="18">
        <f t="shared" si="6"/>
        <v>0</v>
      </c>
      <c r="N84" s="18">
        <f t="shared" si="7"/>
        <v>6.9</v>
      </c>
      <c r="O84" s="18">
        <f t="shared" si="8"/>
        <v>6.9</v>
      </c>
      <c r="P84" s="96" t="e">
        <f t="shared" si="9"/>
        <v>#DIV/0!</v>
      </c>
    </row>
    <row r="85" spans="1:16" ht="41.25" customHeight="1">
      <c r="A85" s="210"/>
      <c r="B85" s="260" t="s">
        <v>390</v>
      </c>
      <c r="C85" s="261"/>
      <c r="D85" s="262"/>
      <c r="E85" s="18"/>
      <c r="F85" s="18"/>
      <c r="G85" s="18"/>
      <c r="H85" s="18"/>
      <c r="I85" s="18"/>
      <c r="J85" s="18"/>
      <c r="K85" s="18"/>
      <c r="L85" s="18">
        <v>29.8</v>
      </c>
      <c r="M85" s="18">
        <f t="shared" si="6"/>
        <v>0</v>
      </c>
      <c r="N85" s="18">
        <f t="shared" si="7"/>
        <v>29.8</v>
      </c>
      <c r="O85" s="18">
        <f t="shared" si="8"/>
        <v>29.8</v>
      </c>
      <c r="P85" s="96" t="e">
        <f t="shared" si="9"/>
        <v>#DIV/0!</v>
      </c>
    </row>
    <row r="86" spans="1:16" ht="39.75" customHeight="1">
      <c r="A86" s="210"/>
      <c r="B86" s="260" t="s">
        <v>418</v>
      </c>
      <c r="C86" s="261"/>
      <c r="D86" s="262"/>
      <c r="E86" s="18"/>
      <c r="F86" s="18"/>
      <c r="G86" s="18"/>
      <c r="H86" s="18"/>
      <c r="I86" s="18"/>
      <c r="J86" s="18"/>
      <c r="K86" s="18"/>
      <c r="L86" s="175">
        <v>24.8</v>
      </c>
      <c r="M86" s="18">
        <f t="shared" si="6"/>
        <v>0</v>
      </c>
      <c r="N86" s="18">
        <f t="shared" si="7"/>
        <v>24.8</v>
      </c>
      <c r="O86" s="18">
        <f t="shared" si="8"/>
        <v>24.8</v>
      </c>
      <c r="P86" s="96" t="e">
        <f t="shared" si="9"/>
        <v>#DIV/0!</v>
      </c>
    </row>
    <row r="87" spans="1:16" ht="39.75" customHeight="1">
      <c r="A87" s="210"/>
      <c r="B87" s="260" t="s">
        <v>419</v>
      </c>
      <c r="C87" s="261"/>
      <c r="D87" s="262"/>
      <c r="E87" s="18"/>
      <c r="F87" s="18"/>
      <c r="G87" s="18"/>
      <c r="H87" s="18"/>
      <c r="I87" s="18"/>
      <c r="J87" s="18"/>
      <c r="K87" s="18"/>
      <c r="L87" s="175">
        <v>10.4</v>
      </c>
      <c r="M87" s="18">
        <f t="shared" si="6"/>
        <v>0</v>
      </c>
      <c r="N87" s="18">
        <f t="shared" si="7"/>
        <v>10.4</v>
      </c>
      <c r="O87" s="18">
        <f t="shared" si="8"/>
        <v>10.4</v>
      </c>
      <c r="P87" s="96" t="e">
        <f t="shared" si="9"/>
        <v>#DIV/0!</v>
      </c>
    </row>
    <row r="88" spans="1:16" ht="44.25" customHeight="1">
      <c r="A88" s="210"/>
      <c r="B88" s="260" t="s">
        <v>391</v>
      </c>
      <c r="C88" s="261"/>
      <c r="D88" s="262"/>
      <c r="E88" s="18"/>
      <c r="F88" s="18"/>
      <c r="G88" s="18"/>
      <c r="H88" s="18"/>
      <c r="I88" s="18"/>
      <c r="J88" s="18"/>
      <c r="K88" s="18"/>
      <c r="L88" s="18">
        <v>7</v>
      </c>
      <c r="M88" s="18">
        <f t="shared" si="6"/>
        <v>0</v>
      </c>
      <c r="N88" s="18">
        <f t="shared" si="7"/>
        <v>7</v>
      </c>
      <c r="O88" s="18">
        <f t="shared" si="8"/>
        <v>7</v>
      </c>
      <c r="P88" s="96" t="e">
        <f t="shared" si="9"/>
        <v>#DIV/0!</v>
      </c>
    </row>
    <row r="89" spans="1:16" ht="38.25" customHeight="1">
      <c r="A89" s="210"/>
      <c r="B89" s="260" t="s">
        <v>392</v>
      </c>
      <c r="C89" s="261"/>
      <c r="D89" s="262"/>
      <c r="E89" s="18"/>
      <c r="F89" s="18"/>
      <c r="G89" s="18"/>
      <c r="H89" s="18"/>
      <c r="I89" s="18"/>
      <c r="J89" s="18"/>
      <c r="K89" s="18"/>
      <c r="L89" s="18">
        <v>2.9</v>
      </c>
      <c r="M89" s="18">
        <f t="shared" si="6"/>
        <v>0</v>
      </c>
      <c r="N89" s="18">
        <f t="shared" si="7"/>
        <v>2.9</v>
      </c>
      <c r="O89" s="18">
        <f t="shared" si="8"/>
        <v>2.9</v>
      </c>
      <c r="P89" s="96" t="e">
        <f t="shared" si="9"/>
        <v>#DIV/0!</v>
      </c>
    </row>
    <row r="90" spans="1:16" ht="42" customHeight="1">
      <c r="A90" s="210"/>
      <c r="B90" s="260" t="s">
        <v>393</v>
      </c>
      <c r="C90" s="261"/>
      <c r="D90" s="262"/>
      <c r="E90" s="18"/>
      <c r="F90" s="18"/>
      <c r="G90" s="18"/>
      <c r="H90" s="18"/>
      <c r="I90" s="18"/>
      <c r="J90" s="18">
        <v>11</v>
      </c>
      <c r="K90" s="18"/>
      <c r="L90" s="18"/>
      <c r="M90" s="18">
        <f t="shared" si="6"/>
        <v>0</v>
      </c>
      <c r="N90" s="18">
        <f t="shared" si="7"/>
        <v>11</v>
      </c>
      <c r="O90" s="18">
        <f t="shared" si="8"/>
        <v>11</v>
      </c>
      <c r="P90" s="96" t="e">
        <f t="shared" si="9"/>
        <v>#DIV/0!</v>
      </c>
    </row>
    <row r="91" spans="1:16" ht="27" customHeight="1">
      <c r="A91" s="210"/>
      <c r="B91" s="260" t="s">
        <v>413</v>
      </c>
      <c r="C91" s="261"/>
      <c r="D91" s="262"/>
      <c r="E91" s="18"/>
      <c r="F91" s="18"/>
      <c r="G91" s="18"/>
      <c r="H91" s="18"/>
      <c r="I91" s="18"/>
      <c r="J91" s="18">
        <v>1.6</v>
      </c>
      <c r="K91" s="18"/>
      <c r="L91" s="18"/>
      <c r="M91" s="18">
        <f t="shared" si="6"/>
        <v>0</v>
      </c>
      <c r="N91" s="18">
        <f t="shared" si="7"/>
        <v>1.6</v>
      </c>
      <c r="O91" s="18">
        <f t="shared" si="8"/>
        <v>1.6</v>
      </c>
      <c r="P91" s="96" t="e">
        <f t="shared" si="9"/>
        <v>#DIV/0!</v>
      </c>
    </row>
    <row r="92" spans="1:16" ht="27" customHeight="1">
      <c r="A92" s="210"/>
      <c r="B92" s="260" t="s">
        <v>394</v>
      </c>
      <c r="C92" s="261"/>
      <c r="D92" s="262"/>
      <c r="E92" s="18"/>
      <c r="F92" s="18"/>
      <c r="G92" s="18"/>
      <c r="H92" s="18"/>
      <c r="I92" s="18"/>
      <c r="J92" s="18">
        <v>4.8</v>
      </c>
      <c r="K92" s="18"/>
      <c r="L92" s="18"/>
      <c r="M92" s="18">
        <f t="shared" si="6"/>
        <v>0</v>
      </c>
      <c r="N92" s="18">
        <f t="shared" si="7"/>
        <v>4.8</v>
      </c>
      <c r="O92" s="18">
        <f t="shared" si="8"/>
        <v>4.8</v>
      </c>
      <c r="P92" s="96" t="e">
        <f t="shared" si="9"/>
        <v>#DIV/0!</v>
      </c>
    </row>
    <row r="93" spans="1:16" ht="63" customHeight="1">
      <c r="A93" s="210" t="s">
        <v>104</v>
      </c>
      <c r="B93" s="257" t="s">
        <v>461</v>
      </c>
      <c r="C93" s="258" t="s">
        <v>63</v>
      </c>
      <c r="D93" s="259" t="s">
        <v>63</v>
      </c>
      <c r="E93" s="14">
        <f>SUM(E94:E95)</f>
        <v>0</v>
      </c>
      <c r="F93" s="14">
        <f t="shared" ref="F93:L93" si="10">SUM(F94:F95)</f>
        <v>0</v>
      </c>
      <c r="G93" s="14">
        <f t="shared" si="10"/>
        <v>2589.1999999999998</v>
      </c>
      <c r="H93" s="14">
        <f t="shared" si="10"/>
        <v>1565.9</v>
      </c>
      <c r="I93" s="14">
        <f t="shared" si="10"/>
        <v>0</v>
      </c>
      <c r="J93" s="14">
        <f t="shared" si="10"/>
        <v>18.399999999999999</v>
      </c>
      <c r="K93" s="14">
        <f t="shared" si="10"/>
        <v>0</v>
      </c>
      <c r="L93" s="14">
        <f t="shared" si="10"/>
        <v>65.5</v>
      </c>
      <c r="M93" s="14">
        <f>E93+G93+I93+K93</f>
        <v>2589.1999999999998</v>
      </c>
      <c r="N93" s="14">
        <f>F93+H93+J93+L93</f>
        <v>1649.8000000000002</v>
      </c>
      <c r="O93" s="14">
        <f t="shared" ref="O93:O95" si="11">N93-M93</f>
        <v>-939.39999999999964</v>
      </c>
      <c r="P93" s="14">
        <f t="shared" ref="P93:P95" si="12">(N93/M93)*100</f>
        <v>63.718523095936987</v>
      </c>
    </row>
    <row r="94" spans="1:16" ht="195.75" customHeight="1">
      <c r="A94" s="210"/>
      <c r="B94" s="260" t="s">
        <v>415</v>
      </c>
      <c r="C94" s="261"/>
      <c r="D94" s="262"/>
      <c r="E94" s="14"/>
      <c r="F94" s="14"/>
      <c r="G94" s="14"/>
      <c r="H94" s="14"/>
      <c r="I94" s="14"/>
      <c r="J94" s="14">
        <v>18.399999999999999</v>
      </c>
      <c r="K94" s="14"/>
      <c r="L94" s="18">
        <v>65.5</v>
      </c>
      <c r="M94" s="14">
        <f t="shared" ref="M94:M95" si="13">E94+G94+I94+K94</f>
        <v>0</v>
      </c>
      <c r="N94" s="18">
        <f t="shared" ref="N94:N95" si="14">F94+H94+J94+L94</f>
        <v>83.9</v>
      </c>
      <c r="O94" s="18">
        <f t="shared" si="11"/>
        <v>83.9</v>
      </c>
      <c r="P94" s="96" t="e">
        <f t="shared" si="12"/>
        <v>#DIV/0!</v>
      </c>
    </row>
    <row r="95" spans="1:16" ht="98.25" customHeight="1">
      <c r="A95" s="210"/>
      <c r="B95" s="260" t="s">
        <v>460</v>
      </c>
      <c r="C95" s="261"/>
      <c r="D95" s="262"/>
      <c r="E95" s="18"/>
      <c r="F95" s="18"/>
      <c r="G95" s="18">
        <v>2589.1999999999998</v>
      </c>
      <c r="H95" s="18">
        <v>1565.9</v>
      </c>
      <c r="I95" s="18"/>
      <c r="J95" s="18"/>
      <c r="K95" s="18"/>
      <c r="L95" s="18"/>
      <c r="M95" s="18">
        <f t="shared" si="13"/>
        <v>2589.1999999999998</v>
      </c>
      <c r="N95" s="18">
        <f t="shared" si="14"/>
        <v>1565.9</v>
      </c>
      <c r="O95" s="18">
        <f t="shared" si="11"/>
        <v>-1023.2999999999997</v>
      </c>
      <c r="P95" s="14">
        <f t="shared" si="12"/>
        <v>60.478139966012677</v>
      </c>
    </row>
    <row r="96" spans="1:16" ht="33.75" customHeight="1">
      <c r="A96" s="210" t="s">
        <v>440</v>
      </c>
      <c r="B96" s="257" t="s">
        <v>251</v>
      </c>
      <c r="C96" s="258"/>
      <c r="D96" s="259"/>
      <c r="E96" s="14">
        <f t="shared" ref="E96:L96" si="15">SUM(E97:E99)</f>
        <v>0</v>
      </c>
      <c r="F96" s="14">
        <f t="shared" si="15"/>
        <v>0</v>
      </c>
      <c r="G96" s="14">
        <f t="shared" si="15"/>
        <v>0</v>
      </c>
      <c r="H96" s="14">
        <f t="shared" si="15"/>
        <v>8892.2000000000007</v>
      </c>
      <c r="I96" s="14">
        <f t="shared" si="15"/>
        <v>0</v>
      </c>
      <c r="J96" s="14">
        <f t="shared" si="15"/>
        <v>0</v>
      </c>
      <c r="K96" s="14">
        <f t="shared" si="15"/>
        <v>0</v>
      </c>
      <c r="L96" s="14">
        <f t="shared" si="15"/>
        <v>68</v>
      </c>
      <c r="M96" s="14">
        <f t="shared" si="6"/>
        <v>0</v>
      </c>
      <c r="N96" s="14">
        <f t="shared" si="7"/>
        <v>8960.2000000000007</v>
      </c>
      <c r="O96" s="14">
        <f t="shared" si="8"/>
        <v>8960.2000000000007</v>
      </c>
      <c r="P96" s="198" t="e">
        <f t="shared" si="9"/>
        <v>#DIV/0!</v>
      </c>
    </row>
    <row r="97" spans="1:16" ht="96" customHeight="1">
      <c r="A97" s="97"/>
      <c r="B97" s="260" t="s">
        <v>220</v>
      </c>
      <c r="C97" s="261"/>
      <c r="D97" s="262"/>
      <c r="E97" s="18"/>
      <c r="F97" s="18"/>
      <c r="G97" s="14"/>
      <c r="H97" s="18">
        <v>4495.7</v>
      </c>
      <c r="I97" s="18"/>
      <c r="J97" s="18"/>
      <c r="K97" s="18"/>
      <c r="L97" s="18"/>
      <c r="M97" s="18">
        <f t="shared" si="6"/>
        <v>0</v>
      </c>
      <c r="N97" s="18">
        <f t="shared" si="7"/>
        <v>4495.7</v>
      </c>
      <c r="O97" s="18">
        <f t="shared" si="8"/>
        <v>4495.7</v>
      </c>
      <c r="P97" s="198" t="e">
        <f t="shared" si="9"/>
        <v>#DIV/0!</v>
      </c>
    </row>
    <row r="98" spans="1:16" ht="116.25" customHeight="1">
      <c r="A98" s="97"/>
      <c r="B98" s="260" t="s">
        <v>317</v>
      </c>
      <c r="C98" s="261"/>
      <c r="D98" s="262"/>
      <c r="E98" s="18"/>
      <c r="F98" s="18"/>
      <c r="G98" s="14"/>
      <c r="H98" s="18">
        <v>4396.5</v>
      </c>
      <c r="I98" s="18"/>
      <c r="J98" s="18"/>
      <c r="K98" s="18"/>
      <c r="L98" s="18"/>
      <c r="M98" s="18">
        <f t="shared" si="6"/>
        <v>0</v>
      </c>
      <c r="N98" s="18">
        <f t="shared" si="7"/>
        <v>4396.5</v>
      </c>
      <c r="O98" s="18">
        <f t="shared" si="8"/>
        <v>4396.5</v>
      </c>
      <c r="P98" s="198" t="e">
        <f t="shared" si="9"/>
        <v>#DIV/0!</v>
      </c>
    </row>
    <row r="99" spans="1:16" ht="238.5" customHeight="1">
      <c r="A99" s="97"/>
      <c r="B99" s="260" t="s">
        <v>416</v>
      </c>
      <c r="C99" s="261"/>
      <c r="D99" s="262"/>
      <c r="E99" s="18"/>
      <c r="F99" s="18"/>
      <c r="G99" s="18"/>
      <c r="H99" s="18"/>
      <c r="I99" s="18"/>
      <c r="J99" s="18">
        <v>0</v>
      </c>
      <c r="K99" s="15"/>
      <c r="L99" s="15">
        <v>68</v>
      </c>
      <c r="M99" s="18">
        <f t="shared" si="6"/>
        <v>0</v>
      </c>
      <c r="N99" s="18">
        <f t="shared" si="7"/>
        <v>68</v>
      </c>
      <c r="O99" s="18">
        <f t="shared" si="8"/>
        <v>68</v>
      </c>
      <c r="P99" s="198" t="e">
        <f t="shared" si="9"/>
        <v>#DIV/0!</v>
      </c>
    </row>
    <row r="100" spans="1:16" ht="40.5" customHeight="1">
      <c r="A100" s="266" t="s">
        <v>9</v>
      </c>
      <c r="B100" s="267"/>
      <c r="C100" s="267"/>
      <c r="D100" s="267"/>
      <c r="E100" s="98">
        <f>E7+E27</f>
        <v>0</v>
      </c>
      <c r="F100" s="98">
        <f>F7+F27</f>
        <v>0</v>
      </c>
      <c r="G100" s="98">
        <f>G7+G27+G96</f>
        <v>1750</v>
      </c>
      <c r="H100" s="98">
        <f>H7+H27+H96+H93</f>
        <v>12274.300000000001</v>
      </c>
      <c r="I100" s="98">
        <f>I7+I27</f>
        <v>0</v>
      </c>
      <c r="J100" s="98">
        <f>J7+J27+J96</f>
        <v>314.2</v>
      </c>
      <c r="K100" s="98">
        <f>K7+K27+K96</f>
        <v>0</v>
      </c>
      <c r="L100" s="98">
        <f>L7+L27+L96</f>
        <v>5190.3999999999987</v>
      </c>
      <c r="M100" s="98">
        <f>M7+M27+M96+M93</f>
        <v>4339.2</v>
      </c>
      <c r="N100" s="98">
        <f>N7+N27+N96+N93</f>
        <v>17862.8</v>
      </c>
      <c r="O100" s="98">
        <f>O7+O27</f>
        <v>5502.7999999999993</v>
      </c>
      <c r="P100" s="98">
        <f>(N100/M100)*100</f>
        <v>411.66113569321527</v>
      </c>
    </row>
    <row r="101" spans="1:16" ht="20.100000000000001" customHeight="1">
      <c r="A101" s="99"/>
      <c r="B101" s="201"/>
      <c r="C101" s="205"/>
      <c r="D101" s="205"/>
      <c r="E101" s="100"/>
      <c r="F101" s="100"/>
      <c r="G101" s="100"/>
      <c r="H101" s="100"/>
      <c r="I101" s="100"/>
      <c r="J101" s="99"/>
      <c r="K101" s="100"/>
      <c r="L101" s="99"/>
    </row>
    <row r="102" spans="1:16" ht="6.75" customHeight="1">
      <c r="A102" s="101"/>
      <c r="B102" s="202"/>
      <c r="C102" s="206"/>
      <c r="D102" s="206"/>
      <c r="E102" s="102"/>
      <c r="F102" s="102"/>
      <c r="G102" s="102"/>
      <c r="H102" s="102"/>
      <c r="I102" s="102"/>
      <c r="J102" s="102"/>
    </row>
    <row r="103" spans="1:16" ht="18" hidden="1" customHeight="1">
      <c r="A103" s="101"/>
      <c r="B103" s="202"/>
      <c r="C103" s="206"/>
      <c r="D103" s="206"/>
      <c r="E103" s="102"/>
      <c r="F103" s="102"/>
      <c r="G103" s="102"/>
      <c r="H103" s="102"/>
      <c r="I103" s="102"/>
      <c r="J103" s="102"/>
    </row>
    <row r="104" spans="1:16" s="212" customFormat="1" ht="19.5" hidden="1" customHeight="1">
      <c r="B104" s="213"/>
      <c r="C104" s="199"/>
      <c r="D104" s="199"/>
      <c r="E104" s="9"/>
      <c r="F104" s="9"/>
      <c r="N104" s="178"/>
      <c r="O104" s="178"/>
    </row>
    <row r="105" spans="1:16" s="10" customFormat="1" ht="32.25" customHeight="1">
      <c r="B105" s="270" t="s">
        <v>214</v>
      </c>
      <c r="C105" s="271"/>
      <c r="D105" s="271"/>
      <c r="E105" s="211"/>
      <c r="F105" s="211"/>
      <c r="G105" s="272"/>
      <c r="H105" s="272"/>
      <c r="I105" s="272"/>
      <c r="J105" s="103"/>
      <c r="K105" s="240" t="s">
        <v>186</v>
      </c>
      <c r="L105" s="240"/>
      <c r="M105" s="240"/>
      <c r="N105" s="179"/>
      <c r="O105" s="179"/>
    </row>
    <row r="106" spans="1:16" s="212" customFormat="1" ht="21.75" customHeight="1">
      <c r="B106" s="274" t="s">
        <v>10</v>
      </c>
      <c r="C106" s="274"/>
      <c r="D106" s="274"/>
      <c r="E106" s="104"/>
      <c r="F106" s="104"/>
      <c r="G106" s="105"/>
      <c r="H106" s="231" t="s">
        <v>11</v>
      </c>
      <c r="I106" s="105"/>
      <c r="J106" s="104"/>
      <c r="K106" s="273" t="s">
        <v>17</v>
      </c>
      <c r="L106" s="273"/>
      <c r="M106" s="273"/>
      <c r="N106" s="178"/>
      <c r="O106" s="178"/>
    </row>
    <row r="107" spans="1:16" ht="20.100000000000001" customHeight="1">
      <c r="B107" s="203"/>
      <c r="C107" s="203"/>
      <c r="D107" s="203"/>
      <c r="E107" s="107"/>
      <c r="F107" s="107"/>
      <c r="G107" s="107"/>
      <c r="H107" s="107"/>
      <c r="I107" s="107"/>
      <c r="J107" s="107"/>
    </row>
    <row r="108" spans="1:16" ht="20.100000000000001" customHeight="1">
      <c r="B108" s="203"/>
      <c r="C108" s="203"/>
      <c r="D108" s="203"/>
      <c r="E108" s="106"/>
      <c r="F108" s="106"/>
      <c r="G108" s="106"/>
      <c r="H108" s="106"/>
      <c r="I108" s="106"/>
      <c r="J108" s="106"/>
    </row>
    <row r="109" spans="1:16">
      <c r="B109" s="203"/>
      <c r="C109" s="203"/>
      <c r="D109" s="203"/>
      <c r="E109" s="106"/>
      <c r="F109" s="106"/>
      <c r="G109" s="106"/>
      <c r="H109" s="106"/>
      <c r="I109" s="106"/>
      <c r="J109" s="106"/>
    </row>
    <row r="110" spans="1:16" s="269" customFormat="1" ht="19.149999999999999" customHeight="1">
      <c r="A110" s="268" t="s">
        <v>52</v>
      </c>
    </row>
    <row r="113" spans="2:2">
      <c r="B113" s="204"/>
    </row>
    <row r="114" spans="2:2">
      <c r="B114" s="204"/>
    </row>
    <row r="115" spans="2:2">
      <c r="B115" s="204"/>
    </row>
    <row r="116" spans="2:2">
      <c r="B116" s="204"/>
    </row>
    <row r="117" spans="2:2">
      <c r="B117" s="204"/>
    </row>
    <row r="118" spans="2:2">
      <c r="B118" s="204"/>
    </row>
    <row r="119" spans="2:2">
      <c r="B119" s="204"/>
    </row>
  </sheetData>
  <mergeCells count="109">
    <mergeCell ref="B78:D78"/>
    <mergeCell ref="B70:D70"/>
    <mergeCell ref="B71:D71"/>
    <mergeCell ref="B72:D72"/>
    <mergeCell ref="B73:D73"/>
    <mergeCell ref="B74:D74"/>
    <mergeCell ref="D2:M2"/>
    <mergeCell ref="M4:P4"/>
    <mergeCell ref="G4:H4"/>
    <mergeCell ref="K4:L4"/>
    <mergeCell ref="I4:J4"/>
    <mergeCell ref="E4:F4"/>
    <mergeCell ref="B57:D57"/>
    <mergeCell ref="B58:D58"/>
    <mergeCell ref="B59:D59"/>
    <mergeCell ref="B42:D42"/>
    <mergeCell ref="B43:D43"/>
    <mergeCell ref="B44:D44"/>
    <mergeCell ref="B35:D35"/>
    <mergeCell ref="B36:D36"/>
    <mergeCell ref="B37:D37"/>
    <mergeCell ref="B77:D77"/>
    <mergeCell ref="B38:D38"/>
    <mergeCell ref="B39:D39"/>
    <mergeCell ref="B26:D26"/>
    <mergeCell ref="B54:D54"/>
    <mergeCell ref="B55:D55"/>
    <mergeCell ref="B56:D56"/>
    <mergeCell ref="B30:D30"/>
    <mergeCell ref="B31:D31"/>
    <mergeCell ref="B32:D32"/>
    <mergeCell ref="B33:D33"/>
    <mergeCell ref="B34:D34"/>
    <mergeCell ref="B28:D28"/>
    <mergeCell ref="B29:D29"/>
    <mergeCell ref="B40:D40"/>
    <mergeCell ref="B41:D41"/>
    <mergeCell ref="B90:D90"/>
    <mergeCell ref="A4:A5"/>
    <mergeCell ref="B7:D7"/>
    <mergeCell ref="B27:D27"/>
    <mergeCell ref="B6:D6"/>
    <mergeCell ref="B4:D5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75:D75"/>
    <mergeCell ref="B76:D76"/>
    <mergeCell ref="A100:D100"/>
    <mergeCell ref="B99:D99"/>
    <mergeCell ref="A110:XFD110"/>
    <mergeCell ref="B105:D105"/>
    <mergeCell ref="G105:I105"/>
    <mergeCell ref="K105:M105"/>
    <mergeCell ref="K106:M106"/>
    <mergeCell ref="B106:D106"/>
    <mergeCell ref="B82:D82"/>
    <mergeCell ref="B84:D84"/>
    <mergeCell ref="B86:D86"/>
    <mergeCell ref="B87:D87"/>
    <mergeCell ref="B92:D92"/>
    <mergeCell ref="B91:D91"/>
    <mergeCell ref="B94:D94"/>
    <mergeCell ref="B97:D97"/>
    <mergeCell ref="B98:D98"/>
    <mergeCell ref="B96:D96"/>
    <mergeCell ref="B85:D85"/>
    <mergeCell ref="B83:D83"/>
    <mergeCell ref="B88:D88"/>
    <mergeCell ref="B89:D89"/>
    <mergeCell ref="B93:D93"/>
    <mergeCell ref="B95:D95"/>
    <mergeCell ref="B81:D81"/>
    <mergeCell ref="B79:D79"/>
    <mergeCell ref="B80:D80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65:D65"/>
    <mergeCell ref="B66:D66"/>
    <mergeCell ref="B67:D67"/>
    <mergeCell ref="B68:D68"/>
    <mergeCell ref="B69:D69"/>
    <mergeCell ref="B60:D60"/>
    <mergeCell ref="B61:D61"/>
    <mergeCell ref="B62:D62"/>
    <mergeCell ref="B63:D63"/>
    <mergeCell ref="B64:D64"/>
  </mergeCells>
  <phoneticPr fontId="4" type="noConversion"/>
  <hyperlinks>
    <hyperlink ref="B97" r:id="rId1" display="https://www.dzo.com.ua/tenders/20078403"/>
  </hyperlinks>
  <pageMargins left="0.39370078740157483" right="0.39370078740157483" top="0.78740157480314965" bottom="0.39370078740157483" header="0.19685039370078741" footer="0.31496062992125984"/>
  <pageSetup paperSize="9" scale="47" fitToHeight="3" orientation="landscape" verticalDpi="120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5</vt:i4>
      </vt:variant>
      <vt:variant>
        <vt:lpstr>Именованные диапазоны</vt:lpstr>
      </vt:variant>
      <vt:variant>
        <vt:i4>10</vt:i4>
      </vt:variant>
    </vt:vector>
  </HeadingPairs>
  <TitlesOfParts>
    <vt:vector size="15" baseType="lpstr">
      <vt:lpstr>Звіт про виконання показ фінпла</vt:lpstr>
      <vt:lpstr>Розшифровка 1 до Формування</vt:lpstr>
      <vt:lpstr>Розшифровка 2 до формування</vt:lpstr>
      <vt:lpstr>Розшифровка кап</vt:lpstr>
      <vt:lpstr>Розшифровка за джерелами</vt:lpstr>
      <vt:lpstr>'Звіт про виконання показ фінпла'!Заголовки_для_печати</vt:lpstr>
      <vt:lpstr>'Розшифровка 1 до Формування'!Заголовки_для_печати</vt:lpstr>
      <vt:lpstr>'Розшифровка 2 до формування'!Заголовки_для_печати</vt:lpstr>
      <vt:lpstr>'Розшифровка за джерелами'!Заголовки_для_печати</vt:lpstr>
      <vt:lpstr>'Розшифровка кап'!Заголовки_для_печати</vt:lpstr>
      <vt:lpstr>'Звіт про виконання показ фінпла'!Область_печати</vt:lpstr>
      <vt:lpstr>'Розшифровка 1 до Формування'!Область_печати</vt:lpstr>
      <vt:lpstr>'Розшифровка 2 до формування'!Область_печати</vt:lpstr>
      <vt:lpstr>'Розшифровка за джерелами'!Область_печати</vt:lpstr>
      <vt:lpstr>'Розшифровка кап'!Область_печати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CMtaD</cp:lastModifiedBy>
  <cp:lastPrinted>2024-11-21T09:40:30Z</cp:lastPrinted>
  <dcterms:created xsi:type="dcterms:W3CDTF">2003-03-13T16:00:22Z</dcterms:created>
  <dcterms:modified xsi:type="dcterms:W3CDTF">2024-11-21T10:45:00Z</dcterms:modified>
</cp:coreProperties>
</file>